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fs1\Data\County Clerk\Budget\Budgets\2026 Budgets\2026 City\Concordia City 2026\"/>
    </mc:Choice>
  </mc:AlternateContent>
  <xr:revisionPtr revIDLastSave="0" documentId="13_ncr:1_{6950B1F7-63DF-4346-8CCD-40193994EB38}" xr6:coauthVersionLast="47" xr6:coauthVersionMax="47" xr10:uidLastSave="{00000000-0000-0000-0000-000000000000}"/>
  <bookViews>
    <workbookView xWindow="28680" yWindow="-120" windowWidth="29040" windowHeight="16440" tabRatio="909" firstSheet="5" activeTab="6" xr2:uid="{00000000-000D-0000-FFFF-FFFF00000000}"/>
  </bookViews>
  <sheets>
    <sheet name="Instructions" sheetId="1" r:id="rId1"/>
    <sheet name="inputPrYr" sheetId="2" r:id="rId2"/>
    <sheet name="inputOth" sheetId="43" r:id="rId3"/>
    <sheet name="inputHearing" sheetId="54" r:id="rId4"/>
    <sheet name="CPA Summary " sheetId="63" r:id="rId5"/>
    <sheet name="Cert" sheetId="3" r:id="rId6"/>
    <sheet name="Signed Cert" sheetId="80" r:id="rId7"/>
    <sheet name="Mvalloc" sheetId="5" r:id="rId8"/>
    <sheet name="Transfers" sheetId="32" r:id="rId9"/>
    <sheet name="Debt" sheetId="22" r:id="rId10"/>
    <sheet name="LP Form" sheetId="23" r:id="rId11"/>
    <sheet name="Library Grant" sheetId="58" r:id="rId12"/>
    <sheet name="General" sheetId="7" r:id="rId13"/>
    <sheet name="General Detail" sheetId="9" r:id="rId14"/>
    <sheet name="DebtSvs-Library" sheetId="34" r:id="rId15"/>
    <sheet name="Lib Ben-Ec Dev" sheetId="8" r:id="rId16"/>
    <sheet name="Spec Hwy-RHID" sheetId="14" r:id="rId17"/>
    <sheet name="Spec Parks-911 PSAP" sheetId="15" r:id="rId18"/>
    <sheet name="WATER" sheetId="35" r:id="rId19"/>
    <sheet name="Gas" sheetId="36" r:id="rId20"/>
    <sheet name="NonBudA" sheetId="39" r:id="rId21"/>
    <sheet name="NonBudB" sheetId="40" r:id="rId22"/>
    <sheet name="NonBudC" sheetId="41" r:id="rId23"/>
    <sheet name="NonBudD" sheetId="42" r:id="rId24"/>
    <sheet name="Combined Rate-Bud Hearing Notic" sheetId="64" r:id="rId25"/>
    <sheet name="Roll Call to Exceed RNR Templat" sheetId="68" r:id="rId26"/>
    <sheet name="Proof of Publication" sheetId="76" r:id="rId27"/>
    <sheet name="Certificate" sheetId="77" r:id="rId28"/>
    <sheet name="Roll Call to Exceed RNR" sheetId="79" r:id="rId29"/>
    <sheet name="Resolution to Exceed RNR" sheetId="78" r:id="rId30"/>
    <sheet name="Budget Tools" sheetId="74" r:id="rId31"/>
    <sheet name="Legend" sheetId="75" r:id="rId32"/>
  </sheets>
  <externalReferences>
    <externalReference r:id="rId33"/>
  </externalReferences>
  <definedNames>
    <definedName name="_xlnm.Print_Area" localSheetId="24">'Combined Rate-Bud Hearing Notic'!$A$1:$H$59</definedName>
    <definedName name="_xlnm.Print_Area" localSheetId="9">Debt!$A$1:$N$40</definedName>
    <definedName name="_xlnm.Print_Area" localSheetId="14">'DebtSvs-Library'!$A$1:$E$87</definedName>
    <definedName name="_xlnm.Print_Area" localSheetId="12">General!$B$1:$E$115</definedName>
    <definedName name="_xlnm.Print_Area" localSheetId="13">'General Detail'!$A$1:$D$142</definedName>
    <definedName name="_xlnm.Print_Area" localSheetId="1">inputPrYr!$A$1:$E$121</definedName>
    <definedName name="_xlnm.Print_Area" localSheetId="15">'Lib Ben-Ec Dev'!$A$1:$E$77</definedName>
    <definedName name="_xlnm.Print_Area" localSheetId="11">'Library Grant'!$A$1:$J$40</definedName>
    <definedName name="_xlnm.Print_Area" localSheetId="10">'LP Form'!$B$1:$I$38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3" i="7" l="1"/>
  <c r="E27" i="32" l="1"/>
  <c r="H46" i="7" l="1"/>
  <c r="H31" i="7"/>
  <c r="H32" i="7"/>
  <c r="H33" i="7"/>
  <c r="H34" i="7"/>
  <c r="H35" i="7"/>
  <c r="H36" i="7"/>
  <c r="H37" i="7"/>
  <c r="H38" i="7"/>
  <c r="H39" i="7"/>
  <c r="H40" i="7"/>
  <c r="H41" i="7"/>
  <c r="H42" i="7"/>
  <c r="H43" i="7"/>
  <c r="H30" i="7"/>
  <c r="H11" i="7"/>
  <c r="H12" i="7"/>
  <c r="H13" i="7"/>
  <c r="H14" i="7"/>
  <c r="H15" i="7"/>
  <c r="H16" i="7"/>
  <c r="H17" i="7"/>
  <c r="H18" i="7"/>
  <c r="H19" i="7"/>
  <c r="H20" i="7"/>
  <c r="H21" i="7"/>
  <c r="H22" i="7"/>
  <c r="H23" i="7"/>
  <c r="H24" i="7"/>
  <c r="H25" i="7"/>
  <c r="H26" i="7"/>
  <c r="H27" i="7"/>
  <c r="H10" i="7"/>
  <c r="H48" i="7" l="1"/>
  <c r="D28" i="7" l="1"/>
  <c r="E25" i="14" l="1"/>
  <c r="E76" i="34"/>
  <c r="E41" i="34" l="1"/>
  <c r="D41" i="34"/>
  <c r="C49" i="8" l="1"/>
  <c r="C13" i="8"/>
  <c r="C60" i="34" l="1"/>
  <c r="C13" i="34"/>
  <c r="B78" i="7"/>
  <c r="D136" i="9"/>
  <c r="E78" i="7" s="1"/>
  <c r="C136" i="9"/>
  <c r="D78" i="7" s="1"/>
  <c r="B136" i="9"/>
  <c r="C78" i="7" s="1"/>
  <c r="B9" i="9"/>
  <c r="C13" i="7"/>
  <c r="F51" i="3" l="1"/>
  <c r="C46" i="3"/>
  <c r="A57" i="64"/>
  <c r="A7" i="64"/>
  <c r="A5" i="64"/>
  <c r="D51" i="64"/>
  <c r="B51" i="64"/>
  <c r="D50" i="64"/>
  <c r="B50" i="64"/>
  <c r="D49" i="64"/>
  <c r="B49" i="64"/>
  <c r="D48" i="64"/>
  <c r="B48" i="64"/>
  <c r="M47" i="64"/>
  <c r="F44" i="64"/>
  <c r="M46" i="64" s="1"/>
  <c r="D44" i="64"/>
  <c r="B44" i="64"/>
  <c r="B42" i="64"/>
  <c r="H39" i="64"/>
  <c r="M43" i="64" s="1"/>
  <c r="A37" i="64"/>
  <c r="A36" i="64"/>
  <c r="A35" i="64"/>
  <c r="A34" i="64"/>
  <c r="A33" i="64"/>
  <c r="A32" i="64"/>
  <c r="A31" i="64"/>
  <c r="A30" i="64"/>
  <c r="A29" i="64"/>
  <c r="A28" i="64"/>
  <c r="A27" i="64"/>
  <c r="A26" i="64"/>
  <c r="A25" i="64"/>
  <c r="A24" i="64"/>
  <c r="A23" i="64"/>
  <c r="A22" i="64"/>
  <c r="A21" i="64"/>
  <c r="A20" i="64"/>
  <c r="E19" i="64"/>
  <c r="C19" i="64"/>
  <c r="A19" i="64"/>
  <c r="E18" i="64"/>
  <c r="C18" i="64"/>
  <c r="A18" i="64"/>
  <c r="E17" i="64"/>
  <c r="C17" i="64"/>
  <c r="A17" i="64"/>
  <c r="E16" i="64"/>
  <c r="C16" i="64"/>
  <c r="A16" i="64"/>
  <c r="E15" i="64"/>
  <c r="C15" i="64"/>
  <c r="A15" i="64"/>
  <c r="A4" i="64"/>
  <c r="H2" i="64"/>
  <c r="J36" i="64" s="1"/>
  <c r="D52" i="64" l="1"/>
  <c r="B52" i="64"/>
  <c r="C38" i="64"/>
  <c r="B12" i="64"/>
  <c r="J31" i="64"/>
  <c r="J44" i="64"/>
  <c r="B47" i="64"/>
  <c r="J47" i="64"/>
  <c r="J26" i="64"/>
  <c r="A9" i="64"/>
  <c r="E38" i="64"/>
  <c r="M31" i="64" s="1"/>
  <c r="M39" i="64" s="1"/>
  <c r="M28" i="64"/>
  <c r="J38" i="64"/>
  <c r="D47" i="64"/>
  <c r="J29" i="64"/>
  <c r="F47" i="64"/>
  <c r="J39" i="64"/>
  <c r="D12" i="64"/>
  <c r="J45" i="64"/>
  <c r="F12" i="64"/>
  <c r="J46" i="64"/>
  <c r="G13" i="64"/>
  <c r="C53" i="7"/>
  <c r="C115" i="7" s="1"/>
  <c r="G17" i="5"/>
  <c r="G13" i="5"/>
  <c r="H26" i="5"/>
  <c r="G25" i="5"/>
  <c r="G16" i="58"/>
  <c r="D51" i="2"/>
  <c r="J51" i="8"/>
  <c r="J14" i="8"/>
  <c r="J61" i="34"/>
  <c r="J14" i="34"/>
  <c r="G25" i="58"/>
  <c r="J85" i="7"/>
  <c r="J16" i="8"/>
  <c r="J15" i="8"/>
  <c r="J16" i="34"/>
  <c r="J15" i="34"/>
  <c r="D44" i="8"/>
  <c r="D59" i="8" s="1"/>
  <c r="D58" i="8" s="1"/>
  <c r="D8" i="8"/>
  <c r="D21" i="8" s="1"/>
  <c r="D20" i="8" s="1"/>
  <c r="D55" i="34"/>
  <c r="D69" i="34" s="1"/>
  <c r="D68" i="34" s="1"/>
  <c r="D8" i="34"/>
  <c r="D8" i="7"/>
  <c r="C17" i="3"/>
  <c r="A17" i="3"/>
  <c r="E19" i="58"/>
  <c r="E18" i="58"/>
  <c r="E17" i="58"/>
  <c r="E16" i="58"/>
  <c r="D47" i="34"/>
  <c r="D82" i="34"/>
  <c r="C23" i="3"/>
  <c r="C22" i="3"/>
  <c r="C21" i="3"/>
  <c r="C70" i="8"/>
  <c r="C32" i="8"/>
  <c r="D78" i="34"/>
  <c r="C78" i="34"/>
  <c r="D43" i="34"/>
  <c r="C43" i="34"/>
  <c r="B52" i="34"/>
  <c r="B5" i="34"/>
  <c r="E1" i="34"/>
  <c r="B38" i="34" s="1"/>
  <c r="E58" i="7"/>
  <c r="D58" i="7"/>
  <c r="C58" i="7"/>
  <c r="B72" i="9"/>
  <c r="D72" i="9"/>
  <c r="C72" i="9"/>
  <c r="C20" i="3"/>
  <c r="B27" i="3"/>
  <c r="B26" i="3"/>
  <c r="B25" i="3"/>
  <c r="B24" i="3"/>
  <c r="B23" i="3"/>
  <c r="B22" i="3"/>
  <c r="B21" i="3"/>
  <c r="A27" i="3"/>
  <c r="A26" i="3"/>
  <c r="A25" i="3"/>
  <c r="A24" i="3"/>
  <c r="A23" i="3"/>
  <c r="A22" i="3"/>
  <c r="A21" i="3"/>
  <c r="A76" i="43"/>
  <c r="A75" i="43"/>
  <c r="A74" i="43"/>
  <c r="A73" i="43"/>
  <c r="A72" i="43"/>
  <c r="A71" i="43"/>
  <c r="A70" i="43"/>
  <c r="A69" i="43"/>
  <c r="A68" i="43"/>
  <c r="A67" i="43"/>
  <c r="A66" i="43"/>
  <c r="C19" i="5"/>
  <c r="C18" i="5"/>
  <c r="C17" i="5"/>
  <c r="C16" i="5"/>
  <c r="C15" i="5"/>
  <c r="C14" i="5"/>
  <c r="C13" i="5"/>
  <c r="C12" i="5"/>
  <c r="C11" i="5"/>
  <c r="C10" i="5"/>
  <c r="C9" i="5"/>
  <c r="B19" i="5"/>
  <c r="B18" i="5"/>
  <c r="B17" i="5"/>
  <c r="B16" i="5"/>
  <c r="B15" i="5"/>
  <c r="B14" i="5"/>
  <c r="B13" i="5"/>
  <c r="B12" i="5"/>
  <c r="B11" i="5"/>
  <c r="B10" i="5"/>
  <c r="B9" i="5"/>
  <c r="A37" i="43"/>
  <c r="A36" i="43"/>
  <c r="A35" i="43"/>
  <c r="A34" i="43"/>
  <c r="A33" i="43"/>
  <c r="A32" i="43"/>
  <c r="A31" i="43"/>
  <c r="A30" i="43"/>
  <c r="A29" i="43"/>
  <c r="A28" i="43"/>
  <c r="A27" i="43"/>
  <c r="G30" i="2"/>
  <c r="G29" i="2"/>
  <c r="G28" i="2"/>
  <c r="G27" i="2"/>
  <c r="G26" i="2"/>
  <c r="G25" i="2"/>
  <c r="G24" i="2"/>
  <c r="G23" i="2"/>
  <c r="G22" i="2"/>
  <c r="G21" i="2"/>
  <c r="G17" i="2"/>
  <c r="G19" i="2"/>
  <c r="G18" i="2"/>
  <c r="B92" i="2"/>
  <c r="B91" i="2"/>
  <c r="B90" i="2"/>
  <c r="B89" i="2"/>
  <c r="B88" i="2"/>
  <c r="B87" i="2"/>
  <c r="B86" i="2"/>
  <c r="B85" i="2"/>
  <c r="B84" i="2"/>
  <c r="B83" i="2"/>
  <c r="B82" i="2"/>
  <c r="B19" i="58"/>
  <c r="B18" i="58"/>
  <c r="B17" i="58"/>
  <c r="B16" i="58"/>
  <c r="B15" i="58"/>
  <c r="G14" i="58"/>
  <c r="B44" i="58" s="1"/>
  <c r="E14" i="58"/>
  <c r="B45" i="58" s="1"/>
  <c r="B5" i="58"/>
  <c r="B8" i="58"/>
  <c r="B7" i="58"/>
  <c r="B1" i="34"/>
  <c r="D76" i="34"/>
  <c r="D17" i="64" s="1"/>
  <c r="C76" i="34"/>
  <c r="B17" i="64" s="1"/>
  <c r="C69" i="34"/>
  <c r="C68" i="34" s="1"/>
  <c r="D16" i="64"/>
  <c r="C41" i="34"/>
  <c r="B16" i="64" s="1"/>
  <c r="C25" i="34"/>
  <c r="C24" i="34" s="1"/>
  <c r="B5" i="7"/>
  <c r="C68" i="8"/>
  <c r="B19" i="64" s="1"/>
  <c r="D36" i="8"/>
  <c r="D74" i="8"/>
  <c r="D70" i="8"/>
  <c r="D32" i="8"/>
  <c r="D108" i="7"/>
  <c r="C104" i="7"/>
  <c r="D104" i="7"/>
  <c r="B74" i="7"/>
  <c r="B75" i="7"/>
  <c r="B76" i="7"/>
  <c r="B77" i="7"/>
  <c r="B73" i="7"/>
  <c r="B72" i="7"/>
  <c r="B71" i="7"/>
  <c r="B70" i="7"/>
  <c r="B81" i="9"/>
  <c r="C81" i="9"/>
  <c r="D70" i="7" s="1"/>
  <c r="D81" i="9"/>
  <c r="E70" i="7" s="1"/>
  <c r="B88" i="9"/>
  <c r="C71" i="7" s="1"/>
  <c r="C88" i="9"/>
  <c r="D88" i="9"/>
  <c r="B95" i="9"/>
  <c r="C95" i="9"/>
  <c r="D72" i="7" s="1"/>
  <c r="D95" i="9"/>
  <c r="E72" i="7" s="1"/>
  <c r="B101" i="9"/>
  <c r="C73" i="7" s="1"/>
  <c r="C101" i="9"/>
  <c r="D73" i="7" s="1"/>
  <c r="D101" i="9"/>
  <c r="E73" i="7"/>
  <c r="B108" i="9"/>
  <c r="C74" i="7" s="1"/>
  <c r="C108" i="9"/>
  <c r="D74" i="7" s="1"/>
  <c r="D108" i="9"/>
  <c r="E74" i="7" s="1"/>
  <c r="B115" i="9"/>
  <c r="C75" i="7" s="1"/>
  <c r="C115" i="9"/>
  <c r="D75" i="7" s="1"/>
  <c r="D115" i="9"/>
  <c r="E75" i="7"/>
  <c r="B122" i="9"/>
  <c r="C76" i="7" s="1"/>
  <c r="C122" i="9"/>
  <c r="D76" i="7" s="1"/>
  <c r="D122" i="9"/>
  <c r="E76" i="7"/>
  <c r="B129" i="9"/>
  <c r="C77" i="7" s="1"/>
  <c r="C129" i="9"/>
  <c r="D77" i="7" s="1"/>
  <c r="D129" i="9"/>
  <c r="E77" i="7" s="1"/>
  <c r="E31" i="2"/>
  <c r="D42" i="64" s="1"/>
  <c r="A96" i="2"/>
  <c r="A95" i="2"/>
  <c r="D78" i="2"/>
  <c r="C25" i="14"/>
  <c r="B22" i="64" s="1"/>
  <c r="C14" i="14"/>
  <c r="C15" i="14" s="1"/>
  <c r="D25" i="14"/>
  <c r="D22" i="64" s="1"/>
  <c r="F22" i="64"/>
  <c r="C27" i="14"/>
  <c r="D27" i="14"/>
  <c r="C52" i="14"/>
  <c r="B23" i="64" s="1"/>
  <c r="D52" i="14"/>
  <c r="D23" i="64" s="1"/>
  <c r="E52" i="14"/>
  <c r="F23" i="64" s="1"/>
  <c r="C54" i="14"/>
  <c r="D54" i="14"/>
  <c r="C24" i="15"/>
  <c r="B24" i="64" s="1"/>
  <c r="D24" i="15"/>
  <c r="D24" i="64" s="1"/>
  <c r="E24" i="15"/>
  <c r="F24" i="64" s="1"/>
  <c r="C26" i="15"/>
  <c r="D26" i="15"/>
  <c r="C51" i="15"/>
  <c r="B25" i="64" s="1"/>
  <c r="D51" i="15"/>
  <c r="D25" i="64" s="1"/>
  <c r="E51" i="15"/>
  <c r="F25" i="64" s="1"/>
  <c r="C53" i="15"/>
  <c r="D53" i="15"/>
  <c r="C41" i="35"/>
  <c r="B30" i="64" s="1"/>
  <c r="D41" i="35"/>
  <c r="D30" i="64" s="1"/>
  <c r="E41" i="35"/>
  <c r="F30" i="64" s="1"/>
  <c r="D43" i="35"/>
  <c r="C43" i="35"/>
  <c r="C34" i="36"/>
  <c r="B31" i="64" s="1"/>
  <c r="D34" i="36"/>
  <c r="D31" i="64" s="1"/>
  <c r="E34" i="36"/>
  <c r="F31" i="64" s="1"/>
  <c r="C36" i="36"/>
  <c r="D36" i="36"/>
  <c r="D63" i="9"/>
  <c r="E69" i="7" s="1"/>
  <c r="D56" i="9"/>
  <c r="E68" i="7" s="1"/>
  <c r="D49" i="9"/>
  <c r="E67" i="7" s="1"/>
  <c r="D42" i="9"/>
  <c r="E66" i="7" s="1"/>
  <c r="D35" i="9"/>
  <c r="E65" i="7" s="1"/>
  <c r="D29" i="9"/>
  <c r="E64" i="7" s="1"/>
  <c r="C63" i="9"/>
  <c r="D69" i="7" s="1"/>
  <c r="C56" i="9"/>
  <c r="D68" i="7" s="1"/>
  <c r="C49" i="9"/>
  <c r="D67" i="7" s="1"/>
  <c r="C42" i="9"/>
  <c r="D66" i="7" s="1"/>
  <c r="C35" i="9"/>
  <c r="D65" i="7" s="1"/>
  <c r="C29" i="9"/>
  <c r="D64" i="7" s="1"/>
  <c r="D22" i="9"/>
  <c r="E63" i="7" s="1"/>
  <c r="C15" i="9"/>
  <c r="D62" i="7" s="1"/>
  <c r="C22" i="9"/>
  <c r="D63" i="7" s="1"/>
  <c r="B63" i="9"/>
  <c r="C69" i="7" s="1"/>
  <c r="B56" i="9"/>
  <c r="C68" i="7" s="1"/>
  <c r="B49" i="9"/>
  <c r="C67" i="7" s="1"/>
  <c r="B42" i="9"/>
  <c r="C66" i="7" s="1"/>
  <c r="B35" i="9"/>
  <c r="C65" i="7" s="1"/>
  <c r="B29" i="9"/>
  <c r="B22" i="9"/>
  <c r="C63" i="7" s="1"/>
  <c r="D15" i="9"/>
  <c r="E62" i="7" s="1"/>
  <c r="B15" i="9"/>
  <c r="C62" i="7" s="1"/>
  <c r="B68" i="7"/>
  <c r="B69" i="7"/>
  <c r="B67" i="7"/>
  <c r="B66" i="7"/>
  <c r="B65" i="7"/>
  <c r="B64" i="7"/>
  <c r="B63" i="7"/>
  <c r="B62" i="7"/>
  <c r="D30" i="8"/>
  <c r="D18" i="64" s="1"/>
  <c r="D68" i="8"/>
  <c r="D19" i="64" s="1"/>
  <c r="C7" i="5"/>
  <c r="C8" i="5"/>
  <c r="C59" i="8"/>
  <c r="C58" i="8" s="1"/>
  <c r="C30" i="8"/>
  <c r="B18" i="64" s="1"/>
  <c r="C21" i="8"/>
  <c r="C22" i="8" s="1"/>
  <c r="C50" i="7"/>
  <c r="C51" i="7" s="1"/>
  <c r="E1" i="8"/>
  <c r="H22" i="8" s="1"/>
  <c r="E1" i="7"/>
  <c r="H92" i="7" s="1"/>
  <c r="E1" i="14"/>
  <c r="C5" i="14" s="1"/>
  <c r="C33" i="14" s="1"/>
  <c r="E1" i="15"/>
  <c r="D5" i="15" s="1"/>
  <c r="D32" i="15" s="1"/>
  <c r="E15" i="2"/>
  <c r="G16" i="2" s="1"/>
  <c r="D15" i="2"/>
  <c r="A51" i="2"/>
  <c r="J28" i="42"/>
  <c r="J17" i="42"/>
  <c r="J18" i="42" s="1"/>
  <c r="H28" i="42"/>
  <c r="H17" i="42"/>
  <c r="H18" i="42"/>
  <c r="F28" i="42"/>
  <c r="F17" i="42"/>
  <c r="F18" i="42"/>
  <c r="F29" i="42" s="1"/>
  <c r="F30" i="42" s="1"/>
  <c r="D28" i="42"/>
  <c r="D17" i="42"/>
  <c r="D18" i="42" s="1"/>
  <c r="B28" i="42"/>
  <c r="B17" i="42"/>
  <c r="B18" i="42" s="1"/>
  <c r="J28" i="41"/>
  <c r="J17" i="41"/>
  <c r="J18" i="41" s="1"/>
  <c r="H28" i="41"/>
  <c r="H17" i="41"/>
  <c r="H18" i="41"/>
  <c r="H29" i="41" s="1"/>
  <c r="H30" i="41" s="1"/>
  <c r="F28" i="41"/>
  <c r="F17" i="41"/>
  <c r="F18" i="41" s="1"/>
  <c r="D28" i="41"/>
  <c r="D17" i="41"/>
  <c r="D18" i="41" s="1"/>
  <c r="D29" i="41" s="1"/>
  <c r="D30" i="41" s="1"/>
  <c r="B28" i="41"/>
  <c r="B17" i="41"/>
  <c r="B18" i="41" s="1"/>
  <c r="J28" i="40"/>
  <c r="J17" i="40"/>
  <c r="J18" i="40" s="1"/>
  <c r="H28" i="40"/>
  <c r="H17" i="40"/>
  <c r="H18" i="40" s="1"/>
  <c r="F17" i="40"/>
  <c r="F18" i="40" s="1"/>
  <c r="F28" i="40"/>
  <c r="D17" i="40"/>
  <c r="D28" i="40"/>
  <c r="B17" i="40"/>
  <c r="B18" i="40" s="1"/>
  <c r="B28" i="40"/>
  <c r="J17" i="39"/>
  <c r="J18" i="39" s="1"/>
  <c r="J28" i="39"/>
  <c r="H17" i="39"/>
  <c r="H18" i="39" s="1"/>
  <c r="H28" i="39"/>
  <c r="F17" i="39"/>
  <c r="F18" i="39" s="1"/>
  <c r="F28" i="39"/>
  <c r="D17" i="39"/>
  <c r="D18" i="39" s="1"/>
  <c r="D28" i="39"/>
  <c r="B28" i="39"/>
  <c r="B17" i="39"/>
  <c r="I5" i="42"/>
  <c r="G5" i="42"/>
  <c r="E5" i="42"/>
  <c r="C5" i="42"/>
  <c r="A5" i="42"/>
  <c r="K1" i="42"/>
  <c r="A2" i="42" s="1"/>
  <c r="K1" i="41"/>
  <c r="A2" i="41" s="1"/>
  <c r="K1" i="40"/>
  <c r="A2" i="40" s="1"/>
  <c r="K1" i="39"/>
  <c r="A2" i="39" s="1"/>
  <c r="E1" i="43"/>
  <c r="A56" i="43" s="1"/>
  <c r="E9" i="14"/>
  <c r="D9" i="14"/>
  <c r="D22" i="5"/>
  <c r="E23" i="5"/>
  <c r="F24" i="5"/>
  <c r="E15" i="7"/>
  <c r="D43" i="14"/>
  <c r="D42" i="14" s="1"/>
  <c r="C43" i="14"/>
  <c r="C42" i="14" s="1"/>
  <c r="E15" i="36"/>
  <c r="E14" i="36" s="1"/>
  <c r="D15" i="36"/>
  <c r="D14" i="36" s="1"/>
  <c r="C15" i="36"/>
  <c r="C14" i="36" s="1"/>
  <c r="C33" i="36"/>
  <c r="E18" i="35"/>
  <c r="E17" i="35" s="1"/>
  <c r="D18" i="35"/>
  <c r="D17" i="35" s="1"/>
  <c r="C18" i="35"/>
  <c r="C19" i="35" s="1"/>
  <c r="E13" i="15"/>
  <c r="E12" i="15" s="1"/>
  <c r="D13" i="15"/>
  <c r="D12" i="15" s="1"/>
  <c r="C13" i="15"/>
  <c r="C12" i="15" s="1"/>
  <c r="E41" i="15"/>
  <c r="E40" i="15" s="1"/>
  <c r="D41" i="15"/>
  <c r="D40" i="15" s="1"/>
  <c r="C41" i="15"/>
  <c r="C40" i="15" s="1"/>
  <c r="E8" i="14"/>
  <c r="D8" i="14"/>
  <c r="E1" i="35"/>
  <c r="B43" i="35" s="1"/>
  <c r="E1" i="36"/>
  <c r="C14" i="15"/>
  <c r="C25" i="15" s="1"/>
  <c r="A92" i="43"/>
  <c r="A91" i="43"/>
  <c r="A90" i="43"/>
  <c r="A89" i="43"/>
  <c r="A88" i="43"/>
  <c r="A87" i="43"/>
  <c r="A86" i="43"/>
  <c r="A85" i="43"/>
  <c r="A84" i="43"/>
  <c r="A83" i="43"/>
  <c r="A82" i="43"/>
  <c r="A81" i="43"/>
  <c r="A80" i="43"/>
  <c r="A79" i="43"/>
  <c r="A78" i="43"/>
  <c r="A77" i="43"/>
  <c r="A65" i="43"/>
  <c r="A64" i="43"/>
  <c r="I1" i="5"/>
  <c r="C6" i="5" s="1"/>
  <c r="C26" i="32"/>
  <c r="C28" i="32" s="1"/>
  <c r="A43" i="3"/>
  <c r="A42" i="3"/>
  <c r="A41" i="3"/>
  <c r="A40" i="3"/>
  <c r="M1" i="22"/>
  <c r="G7" i="22" s="1"/>
  <c r="D99" i="2"/>
  <c r="E99" i="2"/>
  <c r="A13" i="2"/>
  <c r="A98" i="2"/>
  <c r="K7" i="42"/>
  <c r="A1" i="42"/>
  <c r="A1" i="41"/>
  <c r="A1" i="40"/>
  <c r="A1" i="39"/>
  <c r="B1" i="22"/>
  <c r="A31" i="2"/>
  <c r="E26" i="32"/>
  <c r="E28" i="32" s="1"/>
  <c r="D26" i="32"/>
  <c r="D28" i="32"/>
  <c r="D40" i="64" s="1"/>
  <c r="D38" i="43"/>
  <c r="G39" i="22"/>
  <c r="F50" i="64" s="1"/>
  <c r="G29" i="22"/>
  <c r="F49" i="64" s="1"/>
  <c r="G19" i="22"/>
  <c r="F48" i="64" s="1"/>
  <c r="G69" i="8"/>
  <c r="G30" i="8"/>
  <c r="G77" i="34"/>
  <c r="G102" i="7"/>
  <c r="C43" i="3"/>
  <c r="C42" i="3"/>
  <c r="C41" i="3"/>
  <c r="C40" i="3"/>
  <c r="C37" i="3"/>
  <c r="C36" i="3"/>
  <c r="E25" i="58"/>
  <c r="A35" i="3"/>
  <c r="D93" i="2"/>
  <c r="B20" i="3"/>
  <c r="B8" i="5"/>
  <c r="B1" i="5"/>
  <c r="F1" i="32"/>
  <c r="E7" i="32" s="1"/>
  <c r="A1" i="32"/>
  <c r="M19" i="22"/>
  <c r="M29" i="22"/>
  <c r="M39" i="22"/>
  <c r="L19" i="22"/>
  <c r="L29" i="22"/>
  <c r="L39" i="22"/>
  <c r="K19" i="22"/>
  <c r="K29" i="22"/>
  <c r="K39" i="22"/>
  <c r="J19" i="22"/>
  <c r="J29" i="22"/>
  <c r="J39" i="22"/>
  <c r="I1" i="23"/>
  <c r="G9" i="23" s="1"/>
  <c r="D1" i="9"/>
  <c r="D5" i="9" s="1"/>
  <c r="D73" i="9" s="1"/>
  <c r="G1" i="3"/>
  <c r="F48" i="3" s="1"/>
  <c r="A2" i="3"/>
  <c r="A1" i="43"/>
  <c r="B5" i="35"/>
  <c r="B1" i="35"/>
  <c r="B5" i="36"/>
  <c r="B1" i="36"/>
  <c r="I5" i="41"/>
  <c r="G5" i="41"/>
  <c r="E5" i="41"/>
  <c r="C5" i="41"/>
  <c r="A5" i="41"/>
  <c r="I5" i="40"/>
  <c r="G5" i="40"/>
  <c r="E5" i="40"/>
  <c r="C5" i="40"/>
  <c r="A5" i="40"/>
  <c r="I5" i="39"/>
  <c r="G5" i="39"/>
  <c r="E5" i="39"/>
  <c r="C5" i="39"/>
  <c r="A5" i="39"/>
  <c r="B81" i="2"/>
  <c r="A79" i="2"/>
  <c r="D79" i="2"/>
  <c r="K7" i="41"/>
  <c r="K7" i="40"/>
  <c r="K7" i="39"/>
  <c r="A39" i="3"/>
  <c r="A38" i="3"/>
  <c r="A37" i="3"/>
  <c r="B19" i="3"/>
  <c r="C31" i="3"/>
  <c r="C30" i="3"/>
  <c r="C29" i="3"/>
  <c r="C28" i="3"/>
  <c r="A36" i="3"/>
  <c r="A34" i="3"/>
  <c r="A33" i="3"/>
  <c r="A32" i="3"/>
  <c r="A31" i="3"/>
  <c r="A30" i="3"/>
  <c r="A29" i="3"/>
  <c r="A28" i="3"/>
  <c r="A4" i="3"/>
  <c r="A1" i="9"/>
  <c r="A69" i="9" s="1"/>
  <c r="B59" i="7"/>
  <c r="B55" i="7"/>
  <c r="B1" i="7"/>
  <c r="B80" i="2"/>
  <c r="B1" i="23"/>
  <c r="I28" i="23"/>
  <c r="H28" i="23"/>
  <c r="G28" i="23"/>
  <c r="F51" i="64" s="1"/>
  <c r="B7" i="5"/>
  <c r="B32" i="15"/>
  <c r="B5" i="15"/>
  <c r="B1" i="15"/>
  <c r="B5" i="8"/>
  <c r="B41" i="8"/>
  <c r="B1" i="8"/>
  <c r="B33" i="14"/>
  <c r="B5" i="14"/>
  <c r="B1" i="14"/>
  <c r="J52" i="8"/>
  <c r="J53" i="8"/>
  <c r="J62" i="34"/>
  <c r="J63" i="34"/>
  <c r="J86" i="7"/>
  <c r="J87" i="7"/>
  <c r="D18" i="40"/>
  <c r="D29" i="40" s="1"/>
  <c r="D30" i="40" s="1"/>
  <c r="E15" i="5"/>
  <c r="E17" i="5"/>
  <c r="E12" i="5"/>
  <c r="E13" i="5"/>
  <c r="E19" i="5"/>
  <c r="D12" i="5"/>
  <c r="D17" i="5"/>
  <c r="D16" i="5"/>
  <c r="D15" i="5"/>
  <c r="D19" i="5"/>
  <c r="D14" i="5"/>
  <c r="D13" i="5"/>
  <c r="D18" i="5"/>
  <c r="F17" i="5"/>
  <c r="F16" i="5"/>
  <c r="F12" i="5"/>
  <c r="F13" i="5"/>
  <c r="F15" i="5"/>
  <c r="F14" i="5"/>
  <c r="F18" i="5"/>
  <c r="F19" i="5"/>
  <c r="G16" i="5"/>
  <c r="E14" i="5"/>
  <c r="H16" i="5"/>
  <c r="H12" i="5"/>
  <c r="H19" i="5"/>
  <c r="H15" i="5"/>
  <c r="H18" i="5"/>
  <c r="H14" i="5"/>
  <c r="H17" i="5"/>
  <c r="H13" i="5"/>
  <c r="E16" i="5"/>
  <c r="G14" i="5"/>
  <c r="G18" i="5"/>
  <c r="E18" i="5"/>
  <c r="G15" i="5"/>
  <c r="G19" i="5"/>
  <c r="G12" i="5"/>
  <c r="D40" i="34"/>
  <c r="E68" i="8"/>
  <c r="F19" i="64" s="1"/>
  <c r="E30" i="8"/>
  <c r="F18" i="64" s="1"/>
  <c r="F17" i="64"/>
  <c r="F16" i="64"/>
  <c r="C17" i="35"/>
  <c r="C72" i="7"/>
  <c r="E15" i="58"/>
  <c r="C64" i="7"/>
  <c r="C16" i="36"/>
  <c r="C35" i="36" s="1"/>
  <c r="G15" i="8"/>
  <c r="G71" i="34"/>
  <c r="D37" i="36" l="1"/>
  <c r="D50" i="7"/>
  <c r="D49" i="7" s="1"/>
  <c r="K28" i="42"/>
  <c r="B29" i="40"/>
  <c r="B30" i="40" s="1"/>
  <c r="K17" i="42"/>
  <c r="F29" i="40"/>
  <c r="F30" i="40" s="1"/>
  <c r="C70" i="7"/>
  <c r="C79" i="7" s="1"/>
  <c r="C102" i="7" s="1"/>
  <c r="B138" i="9"/>
  <c r="D29" i="8"/>
  <c r="H29" i="42"/>
  <c r="H30" i="42" s="1"/>
  <c r="C50" i="15"/>
  <c r="D33" i="36"/>
  <c r="E51" i="14"/>
  <c r="C44" i="14"/>
  <c r="C13" i="14"/>
  <c r="K40" i="22"/>
  <c r="L40" i="22"/>
  <c r="G40" i="22"/>
  <c r="L6" i="22"/>
  <c r="D37" i="3"/>
  <c r="E36" i="36"/>
  <c r="E33" i="36"/>
  <c r="D31" i="3"/>
  <c r="E50" i="15"/>
  <c r="D5" i="14"/>
  <c r="D33" i="14" s="1"/>
  <c r="D14" i="14"/>
  <c r="D13" i="14" s="1"/>
  <c r="C51" i="14"/>
  <c r="G55" i="8"/>
  <c r="C29" i="8"/>
  <c r="B70" i="8"/>
  <c r="H59" i="8"/>
  <c r="E29" i="8"/>
  <c r="E32" i="8"/>
  <c r="C70" i="34"/>
  <c r="C77" i="34" s="1"/>
  <c r="C98" i="34" s="1"/>
  <c r="G39" i="34"/>
  <c r="H24" i="34"/>
  <c r="H66" i="34"/>
  <c r="B78" i="34"/>
  <c r="C26" i="34"/>
  <c r="E43" i="35"/>
  <c r="D40" i="35"/>
  <c r="E71" i="7"/>
  <c r="E79" i="7" s="1"/>
  <c r="E102" i="7" s="1"/>
  <c r="D138" i="9"/>
  <c r="D71" i="7"/>
  <c r="D79" i="7" s="1"/>
  <c r="C138" i="9"/>
  <c r="D65" i="9"/>
  <c r="D139" i="9" s="1"/>
  <c r="D50" i="15"/>
  <c r="D27" i="15"/>
  <c r="H71" i="34"/>
  <c r="G11" i="34"/>
  <c r="D25" i="34"/>
  <c r="D24" i="34" s="1"/>
  <c r="H27" i="34"/>
  <c r="G22" i="34"/>
  <c r="D75" i="34"/>
  <c r="B29" i="42"/>
  <c r="B30" i="42" s="1"/>
  <c r="K30" i="42"/>
  <c r="F29" i="41"/>
  <c r="F30" i="41" s="1"/>
  <c r="K28" i="41"/>
  <c r="B36" i="64" s="1"/>
  <c r="J29" i="41"/>
  <c r="J30" i="41" s="1"/>
  <c r="K17" i="41"/>
  <c r="K28" i="40"/>
  <c r="B35" i="64" s="1"/>
  <c r="H29" i="40"/>
  <c r="H30" i="40" s="1"/>
  <c r="J29" i="40"/>
  <c r="J30" i="40" s="1"/>
  <c r="K17" i="40"/>
  <c r="K30" i="40" s="1"/>
  <c r="K18" i="40"/>
  <c r="D29" i="39"/>
  <c r="D30" i="39" s="1"/>
  <c r="F29" i="39"/>
  <c r="F30" i="39" s="1"/>
  <c r="J29" i="39"/>
  <c r="J30" i="39" s="1"/>
  <c r="K28" i="39"/>
  <c r="H29" i="39"/>
  <c r="H30" i="39" s="1"/>
  <c r="K17" i="39"/>
  <c r="D6" i="36"/>
  <c r="D16" i="36" s="1"/>
  <c r="D35" i="36" s="1"/>
  <c r="E6" i="36" s="1"/>
  <c r="E16" i="36" s="1"/>
  <c r="E35" i="36" s="1"/>
  <c r="E37" i="36" s="1"/>
  <c r="C40" i="36"/>
  <c r="C44" i="35"/>
  <c r="C40" i="35"/>
  <c r="C42" i="35"/>
  <c r="C47" i="35" s="1"/>
  <c r="C24" i="14"/>
  <c r="C60" i="8"/>
  <c r="C69" i="8" s="1"/>
  <c r="D42" i="8" s="1"/>
  <c r="D60" i="8" s="1"/>
  <c r="D69" i="8" s="1"/>
  <c r="C106" i="8"/>
  <c r="G24" i="8"/>
  <c r="C20" i="8"/>
  <c r="C42" i="34"/>
  <c r="C96" i="34" s="1"/>
  <c r="D97" i="34"/>
  <c r="C75" i="34"/>
  <c r="C97" i="34"/>
  <c r="M40" i="22"/>
  <c r="J40" i="22"/>
  <c r="E14" i="14"/>
  <c r="E13" i="14" s="1"/>
  <c r="B104" i="7"/>
  <c r="E5" i="14"/>
  <c r="E33" i="14" s="1"/>
  <c r="A57" i="43"/>
  <c r="D5" i="8"/>
  <c r="D41" i="8" s="1"/>
  <c r="G89" i="7"/>
  <c r="H62" i="8"/>
  <c r="A14" i="43"/>
  <c r="H72" i="34"/>
  <c r="G86" i="7"/>
  <c r="B32" i="8"/>
  <c r="B36" i="36"/>
  <c r="B31" i="36"/>
  <c r="B76" i="58"/>
  <c r="H97" i="7"/>
  <c r="H63" i="8"/>
  <c r="D5" i="35"/>
  <c r="B38" i="35"/>
  <c r="B48" i="15"/>
  <c r="B21" i="15"/>
  <c r="B49" i="14"/>
  <c r="B22" i="14"/>
  <c r="D5" i="7"/>
  <c r="D59" i="7" s="1"/>
  <c r="B99" i="7"/>
  <c r="H58" i="8"/>
  <c r="B27" i="8"/>
  <c r="B65" i="8"/>
  <c r="C20" i="5"/>
  <c r="F31" i="5" s="1"/>
  <c r="F10" i="5" s="1"/>
  <c r="E12" i="8" s="1"/>
  <c r="E5" i="34"/>
  <c r="E52" i="34" s="1"/>
  <c r="C48" i="34"/>
  <c r="G64" i="34"/>
  <c r="H69" i="34"/>
  <c r="H29" i="34"/>
  <c r="H68" i="34"/>
  <c r="H21" i="8"/>
  <c r="C5" i="34"/>
  <c r="C52" i="34" s="1"/>
  <c r="H24" i="8"/>
  <c r="C83" i="34"/>
  <c r="C5" i="35"/>
  <c r="H67" i="34"/>
  <c r="A6" i="43"/>
  <c r="G58" i="34"/>
  <c r="E5" i="35"/>
  <c r="G62" i="34"/>
  <c r="A61" i="43"/>
  <c r="B43" i="34"/>
  <c r="A50" i="43"/>
  <c r="A7" i="43"/>
  <c r="E20" i="58"/>
  <c r="E54" i="14"/>
  <c r="D29" i="3"/>
  <c r="D55" i="14"/>
  <c r="D51" i="14"/>
  <c r="C53" i="14"/>
  <c r="C56" i="14" s="1"/>
  <c r="D24" i="14"/>
  <c r="D28" i="14"/>
  <c r="C28" i="14"/>
  <c r="C26" i="14"/>
  <c r="D6" i="14" s="1"/>
  <c r="D15" i="14" s="1"/>
  <c r="D26" i="14" s="1"/>
  <c r="F35" i="8"/>
  <c r="C31" i="8"/>
  <c r="D6" i="8" s="1"/>
  <c r="D22" i="8" s="1"/>
  <c r="D31" i="8" s="1"/>
  <c r="D108" i="8"/>
  <c r="C67" i="8"/>
  <c r="C108" i="8"/>
  <c r="C95" i="34"/>
  <c r="C40" i="34"/>
  <c r="E34" i="8"/>
  <c r="F46" i="34"/>
  <c r="C75" i="8"/>
  <c r="D69" i="9"/>
  <c r="G52" i="8"/>
  <c r="H96" i="7"/>
  <c r="H25" i="8"/>
  <c r="C62" i="43"/>
  <c r="A8" i="43"/>
  <c r="D5" i="34"/>
  <c r="D52" i="34" s="1"/>
  <c r="G17" i="8"/>
  <c r="B26" i="15"/>
  <c r="B87" i="58"/>
  <c r="G15" i="34"/>
  <c r="D5" i="36"/>
  <c r="E5" i="7"/>
  <c r="E59" i="7" s="1"/>
  <c r="A23" i="43"/>
  <c r="A5" i="43"/>
  <c r="C37" i="8"/>
  <c r="E5" i="8"/>
  <c r="E41" i="8" s="1"/>
  <c r="A42" i="43"/>
  <c r="H26" i="34"/>
  <c r="B89" i="58"/>
  <c r="H20" i="8"/>
  <c r="E5" i="15"/>
  <c r="E32" i="15" s="1"/>
  <c r="B82" i="58"/>
  <c r="B54" i="14"/>
  <c r="C5" i="7"/>
  <c r="C59" i="7" s="1"/>
  <c r="J6" i="22"/>
  <c r="H91" i="7"/>
  <c r="G82" i="7"/>
  <c r="C5" i="15"/>
  <c r="C32" i="15" s="1"/>
  <c r="E5" i="36"/>
  <c r="C109" i="7"/>
  <c r="H19" i="8"/>
  <c r="I9" i="23"/>
  <c r="D7" i="32"/>
  <c r="B31" i="32" s="1"/>
  <c r="H93" i="7"/>
  <c r="B53" i="15"/>
  <c r="H9" i="23"/>
  <c r="G48" i="8"/>
  <c r="C5" i="8"/>
  <c r="C41" i="8" s="1"/>
  <c r="G11" i="8"/>
  <c r="H25" i="34"/>
  <c r="A13" i="43"/>
  <c r="H57" i="8"/>
  <c r="B27" i="14"/>
  <c r="B5" i="9"/>
  <c r="B73" i="9" s="1"/>
  <c r="C28" i="15"/>
  <c r="D6" i="15"/>
  <c r="D14" i="15" s="1"/>
  <c r="D25" i="15" s="1"/>
  <c r="F40" i="64"/>
  <c r="C60" i="7"/>
  <c r="B37" i="64"/>
  <c r="B40" i="64"/>
  <c r="B29" i="41"/>
  <c r="K18" i="41"/>
  <c r="J29" i="42"/>
  <c r="J30" i="42" s="1"/>
  <c r="K18" i="42"/>
  <c r="A40" i="43"/>
  <c r="B62" i="43"/>
  <c r="D29" i="42"/>
  <c r="D30" i="42" s="1"/>
  <c r="E23" i="15"/>
  <c r="C27" i="15"/>
  <c r="E40" i="35"/>
  <c r="E26" i="15"/>
  <c r="B142" i="9"/>
  <c r="D36" i="3"/>
  <c r="D44" i="35"/>
  <c r="E24" i="14"/>
  <c r="C42" i="15"/>
  <c r="C52" i="15" s="1"/>
  <c r="C49" i="7"/>
  <c r="C19" i="3"/>
  <c r="A16" i="43"/>
  <c r="B67" i="9"/>
  <c r="D30" i="3"/>
  <c r="F52" i="64"/>
  <c r="C55" i="14"/>
  <c r="G62" i="8"/>
  <c r="E27" i="14"/>
  <c r="D23" i="15"/>
  <c r="B6" i="5"/>
  <c r="C23" i="15"/>
  <c r="D54" i="15"/>
  <c r="D95" i="34"/>
  <c r="D5" i="5"/>
  <c r="E53" i="15"/>
  <c r="C5" i="9"/>
  <c r="C73" i="9" s="1"/>
  <c r="H94" i="7"/>
  <c r="H105" i="7"/>
  <c r="H104" i="7"/>
  <c r="H102" i="7"/>
  <c r="H101" i="7"/>
  <c r="D67" i="8"/>
  <c r="D106" i="8"/>
  <c r="H60" i="8"/>
  <c r="H71" i="8"/>
  <c r="H69" i="8"/>
  <c r="H68" i="8"/>
  <c r="H72" i="8"/>
  <c r="H33" i="8"/>
  <c r="H29" i="8"/>
  <c r="H32" i="8"/>
  <c r="H30" i="8"/>
  <c r="H39" i="34"/>
  <c r="H80" i="34"/>
  <c r="H77" i="34"/>
  <c r="H79" i="34"/>
  <c r="H76" i="34"/>
  <c r="H42" i="34"/>
  <c r="H41" i="34"/>
  <c r="H38" i="34"/>
  <c r="A54" i="43"/>
  <c r="B65" i="9"/>
  <c r="B139" i="9" s="1"/>
  <c r="B18" i="39"/>
  <c r="C37" i="36"/>
  <c r="C54" i="15"/>
  <c r="A55" i="43"/>
  <c r="C65" i="9"/>
  <c r="C139" i="9" s="1"/>
  <c r="D28" i="3"/>
  <c r="D23" i="3"/>
  <c r="F75" i="8"/>
  <c r="E67" i="8"/>
  <c r="E72" i="8"/>
  <c r="E70" i="8"/>
  <c r="E78" i="34"/>
  <c r="D22" i="3"/>
  <c r="D21" i="3"/>
  <c r="E80" i="34"/>
  <c r="E75" i="34"/>
  <c r="F84" i="34"/>
  <c r="D20" i="3"/>
  <c r="E45" i="34"/>
  <c r="E43" i="34"/>
  <c r="E40" i="34"/>
  <c r="E26" i="58"/>
  <c r="G78" i="34"/>
  <c r="G31" i="8"/>
  <c r="G40" i="34"/>
  <c r="G70" i="8"/>
  <c r="G103" i="7"/>
  <c r="A7" i="3"/>
  <c r="E10" i="3"/>
  <c r="A8" i="3"/>
  <c r="D9" i="3"/>
  <c r="B59" i="3"/>
  <c r="E27" i="58"/>
  <c r="C7" i="32"/>
  <c r="C5" i="36"/>
  <c r="D53" i="34" l="1"/>
  <c r="D70" i="34" s="1"/>
  <c r="D77" i="34" s="1"/>
  <c r="B34" i="8"/>
  <c r="D102" i="7"/>
  <c r="D101" i="7" s="1"/>
  <c r="D140" i="9"/>
  <c r="C140" i="9"/>
  <c r="B80" i="34"/>
  <c r="D98" i="34"/>
  <c r="B81" i="34" s="1"/>
  <c r="E53" i="34"/>
  <c r="D125" i="7"/>
  <c r="D15" i="64"/>
  <c r="D38" i="64" s="1"/>
  <c r="D41" i="64" s="1"/>
  <c r="K30" i="41"/>
  <c r="K29" i="40"/>
  <c r="K30" i="39"/>
  <c r="B34" i="64"/>
  <c r="D40" i="36"/>
  <c r="D6" i="35"/>
  <c r="D19" i="35" s="1"/>
  <c r="D42" i="35" s="1"/>
  <c r="D34" i="14"/>
  <c r="D44" i="14" s="1"/>
  <c r="D53" i="14" s="1"/>
  <c r="D56" i="14" s="1"/>
  <c r="C29" i="14"/>
  <c r="D6" i="34"/>
  <c r="D26" i="34" s="1"/>
  <c r="D42" i="34" s="1"/>
  <c r="E30" i="5"/>
  <c r="E8" i="5" s="1"/>
  <c r="E11" i="34" s="1"/>
  <c r="F11" i="5"/>
  <c r="E48" i="8" s="1"/>
  <c r="D29" i="5"/>
  <c r="D8" i="5" s="1"/>
  <c r="E10" i="34" s="1"/>
  <c r="G32" i="5"/>
  <c r="H33" i="5"/>
  <c r="H8" i="5" s="1"/>
  <c r="F8" i="5"/>
  <c r="E12" i="34" s="1"/>
  <c r="F9" i="5"/>
  <c r="E59" i="34" s="1"/>
  <c r="G19" i="58" s="1"/>
  <c r="G66" i="34"/>
  <c r="B45" i="34"/>
  <c r="C107" i="8"/>
  <c r="C109" i="8"/>
  <c r="B72" i="8"/>
  <c r="B29" i="39"/>
  <c r="K18" i="39"/>
  <c r="B15" i="64"/>
  <c r="B38" i="64" s="1"/>
  <c r="B41" i="64" s="1"/>
  <c r="C101" i="7"/>
  <c r="C125" i="7"/>
  <c r="G96" i="7"/>
  <c r="D29" i="14"/>
  <c r="E6" i="14"/>
  <c r="E15" i="14" s="1"/>
  <c r="E26" i="14" s="1"/>
  <c r="E28" i="14" s="1"/>
  <c r="E6" i="8"/>
  <c r="G19" i="8"/>
  <c r="D107" i="8"/>
  <c r="F15" i="64"/>
  <c r="F38" i="64" s="1"/>
  <c r="F41" i="64" s="1"/>
  <c r="E101" i="7"/>
  <c r="E104" i="7"/>
  <c r="F107" i="7"/>
  <c r="E106" i="7"/>
  <c r="D19" i="3"/>
  <c r="D44" i="3" s="1"/>
  <c r="D33" i="15"/>
  <c r="D42" i="15" s="1"/>
  <c r="D52" i="15" s="1"/>
  <c r="C57" i="15"/>
  <c r="B140" i="9"/>
  <c r="K29" i="42"/>
  <c r="K29" i="41"/>
  <c r="B30" i="41"/>
  <c r="C103" i="7"/>
  <c r="E6" i="15"/>
  <c r="E14" i="15" s="1"/>
  <c r="E25" i="15" s="1"/>
  <c r="E27" i="15" s="1"/>
  <c r="D28" i="15"/>
  <c r="G57" i="8"/>
  <c r="D109" i="8"/>
  <c r="E42" i="8"/>
  <c r="G33" i="8"/>
  <c r="G72" i="8"/>
  <c r="G80" i="34"/>
  <c r="G42" i="34"/>
  <c r="G105" i="7"/>
  <c r="E9" i="5" l="1"/>
  <c r="E58" i="34" s="1"/>
  <c r="G18" i="58" s="1"/>
  <c r="D9" i="5"/>
  <c r="E57" i="34" s="1"/>
  <c r="H9" i="5"/>
  <c r="E61" i="34" s="1"/>
  <c r="E34" i="14"/>
  <c r="B106" i="7"/>
  <c r="D96" i="34"/>
  <c r="B46" i="34" s="1"/>
  <c r="E6" i="34"/>
  <c r="G24" i="34"/>
  <c r="D47" i="35"/>
  <c r="E6" i="35"/>
  <c r="E19" i="35" s="1"/>
  <c r="E42" i="35" s="1"/>
  <c r="E44" i="35" s="1"/>
  <c r="B73" i="8"/>
  <c r="G10" i="5"/>
  <c r="E13" i="8" s="1"/>
  <c r="G11" i="5"/>
  <c r="E49" i="8" s="1"/>
  <c r="D10" i="5"/>
  <c r="E10" i="8" s="1"/>
  <c r="D11" i="5"/>
  <c r="E46" i="8" s="1"/>
  <c r="G8" i="5"/>
  <c r="G9" i="5"/>
  <c r="E60" i="34" s="1"/>
  <c r="H11" i="5"/>
  <c r="E50" i="8" s="1"/>
  <c r="H10" i="5"/>
  <c r="E14" i="8" s="1"/>
  <c r="E10" i="5"/>
  <c r="E11" i="8" s="1"/>
  <c r="E11" i="5"/>
  <c r="E47" i="8" s="1"/>
  <c r="H7" i="5"/>
  <c r="E14" i="7" s="1"/>
  <c r="E13" i="34"/>
  <c r="F7" i="5"/>
  <c r="E14" i="34"/>
  <c r="G17" i="58"/>
  <c r="B35" i="8"/>
  <c r="C126" i="7"/>
  <c r="D6" i="7"/>
  <c r="D51" i="7" s="1"/>
  <c r="D103" i="7" s="1"/>
  <c r="D57" i="15"/>
  <c r="E33" i="15"/>
  <c r="E42" i="15" s="1"/>
  <c r="E52" i="15" s="1"/>
  <c r="E54" i="15" s="1"/>
  <c r="K29" i="39"/>
  <c r="B30" i="39"/>
  <c r="H20" i="5" l="1"/>
  <c r="E69" i="34"/>
  <c r="G67" i="34" s="1"/>
  <c r="E25" i="34"/>
  <c r="E26" i="34" s="1"/>
  <c r="E46" i="34" s="1"/>
  <c r="E47" i="34" s="1"/>
  <c r="E48" i="34" s="1"/>
  <c r="E7" i="5"/>
  <c r="E21" i="8"/>
  <c r="E59" i="8"/>
  <c r="G7" i="5"/>
  <c r="E13" i="7" s="1"/>
  <c r="D7" i="5"/>
  <c r="E12" i="7"/>
  <c r="F20" i="5"/>
  <c r="E70" i="34"/>
  <c r="E81" i="34" s="1"/>
  <c r="E6" i="7"/>
  <c r="D60" i="7"/>
  <c r="G25" i="34" l="1"/>
  <c r="E24" i="34"/>
  <c r="E82" i="34"/>
  <c r="E83" i="34" s="1"/>
  <c r="G58" i="8"/>
  <c r="E60" i="8"/>
  <c r="E73" i="8" s="1"/>
  <c r="G20" i="5"/>
  <c r="G20" i="8"/>
  <c r="E22" i="8"/>
  <c r="E35" i="8" s="1"/>
  <c r="D20" i="5"/>
  <c r="E10" i="7"/>
  <c r="E50" i="7" s="1"/>
  <c r="E11" i="7"/>
  <c r="E20" i="5"/>
  <c r="G68" i="34"/>
  <c r="G26" i="34"/>
  <c r="K26" i="34" s="1"/>
  <c r="G16" i="64"/>
  <c r="H16" i="64" s="1"/>
  <c r="E20" i="3"/>
  <c r="F20" i="3" s="1"/>
  <c r="G91" i="7"/>
  <c r="D126" i="7"/>
  <c r="B107" i="7" s="1"/>
  <c r="G38" i="34" l="1"/>
  <c r="E74" i="8"/>
  <c r="E75" i="8" s="1"/>
  <c r="E36" i="8"/>
  <c r="E37" i="8" s="1"/>
  <c r="E68" i="34"/>
  <c r="G76" i="34"/>
  <c r="G17" i="64"/>
  <c r="H17" i="64" s="1"/>
  <c r="G15" i="58"/>
  <c r="G20" i="58" s="1"/>
  <c r="E21" i="58" s="1"/>
  <c r="E21" i="3"/>
  <c r="F21" i="3" s="1"/>
  <c r="G59" i="8"/>
  <c r="G60" i="8" s="1"/>
  <c r="G63" i="8" s="1"/>
  <c r="G27" i="34"/>
  <c r="G29" i="34" s="1"/>
  <c r="K68" i="34"/>
  <c r="G69" i="34"/>
  <c r="G72" i="34" s="1"/>
  <c r="E51" i="7" l="1"/>
  <c r="E107" i="7" s="1"/>
  <c r="G92" i="7"/>
  <c r="G27" i="58"/>
  <c r="E28" i="58" s="1"/>
  <c r="D29" i="58" s="1"/>
  <c r="E58" i="8"/>
  <c r="E23" i="3"/>
  <c r="F23" i="3" s="1"/>
  <c r="G68" i="8"/>
  <c r="G19" i="64"/>
  <c r="H19" i="64" s="1"/>
  <c r="K59" i="8"/>
  <c r="E20" i="8"/>
  <c r="G29" i="8"/>
  <c r="G18" i="64"/>
  <c r="H18" i="64" s="1"/>
  <c r="G21" i="8"/>
  <c r="E22" i="3"/>
  <c r="F22" i="3" s="1"/>
  <c r="D22" i="58"/>
  <c r="F31" i="58" s="1"/>
  <c r="F85" i="34" s="1"/>
  <c r="E60" i="7" l="1"/>
  <c r="E108" i="7"/>
  <c r="E109" i="7" s="1"/>
  <c r="K21" i="8"/>
  <c r="G22" i="8"/>
  <c r="G25" i="8" s="1"/>
  <c r="G15" i="64" l="1"/>
  <c r="H15" i="64" s="1"/>
  <c r="H38" i="64" s="1"/>
  <c r="M44" i="64" s="1"/>
  <c r="M49" i="64" s="1"/>
  <c r="J51" i="64" s="1"/>
  <c r="E49" i="7"/>
  <c r="G93" i="7"/>
  <c r="K93" i="7" s="1"/>
  <c r="E19" i="3"/>
  <c r="E44" i="3" s="1"/>
  <c r="G38" i="64" l="1"/>
  <c r="M38" i="64" s="1"/>
  <c r="M40" i="64" s="1"/>
  <c r="G94" i="7"/>
  <c r="G97" i="7" s="1"/>
  <c r="F19" i="3"/>
  <c r="F44" i="3" s="1"/>
  <c r="M33" i="64" l="1"/>
  <c r="J33" i="64" s="1"/>
  <c r="M34" i="64"/>
  <c r="J34" i="64" s="1"/>
  <c r="G101" i="7"/>
  <c r="G79" i="34"/>
  <c r="G32" i="8" l="1"/>
  <c r="J35" i="8" s="1"/>
  <c r="G37" i="8" s="1"/>
  <c r="G41" i="34"/>
  <c r="J44" i="34" s="1"/>
  <c r="G46" i="34" s="1"/>
  <c r="G104" i="7"/>
  <c r="J107" i="7" s="1"/>
  <c r="G109" i="7" s="1"/>
  <c r="G71" i="8"/>
  <c r="J74" i="8" s="1"/>
  <c r="G76" i="8" s="1"/>
  <c r="J82" i="34"/>
  <c r="G84" i="34" s="1"/>
  <c r="E43" i="14" l="1"/>
  <c r="E44" i="14" s="1"/>
  <c r="E53" i="14" s="1"/>
  <c r="E55" i="14" s="1"/>
  <c r="E4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Amber Farha</author>
  </authors>
  <commentList>
    <comment ref="B13" authorId="0" shapeId="0" xr:uid="{516FFA5A-18BD-42BA-ADCE-0CCFD4448253}">
      <text>
        <r>
          <rPr>
            <b/>
            <sz val="9"/>
            <color indexed="81"/>
            <rFont val="Tahoma"/>
            <family val="2"/>
          </rPr>
          <t>Amber Farha:</t>
        </r>
        <r>
          <rPr>
            <sz val="9"/>
            <color indexed="81"/>
            <rFont val="Tahoma"/>
            <family val="2"/>
          </rPr>
          <t xml:space="preserve">
Includes IRP</t>
        </r>
      </text>
    </comment>
    <comment ref="D19" authorId="0" shapeId="0" xr:uid="{32D28083-9D96-4F1F-9F35-4B7AF9E65B72}">
      <text>
        <r>
          <rPr>
            <b/>
            <sz val="9"/>
            <color indexed="81"/>
            <rFont val="Tahoma"/>
            <family val="2"/>
          </rPr>
          <t>Amber Farha:</t>
        </r>
        <r>
          <rPr>
            <sz val="9"/>
            <color indexed="81"/>
            <rFont val="Tahoma"/>
            <family val="2"/>
          </rPr>
          <t xml:space="preserve">
This would be offset by costs in 100-410-742 for curb &amp; gutters</t>
        </r>
      </text>
    </comment>
    <comment ref="D29" authorId="0" shapeId="0" xr:uid="{6E52F413-B82B-49A3-9B71-BBB0DA887AE0}">
      <text>
        <r>
          <rPr>
            <b/>
            <sz val="9"/>
            <color indexed="81"/>
            <rFont val="Tahoma"/>
            <family val="2"/>
          </rPr>
          <t>Amber Farha:</t>
        </r>
        <r>
          <rPr>
            <sz val="9"/>
            <color indexed="81"/>
            <rFont val="Tahoma"/>
            <family val="2"/>
          </rPr>
          <t xml:space="preserve">
Not sure what this will be, but just put in the revenue to cover 75% of the expense in 424 uniforms line.</t>
        </r>
      </text>
    </comment>
    <comment ref="E93" authorId="0" shapeId="0" xr:uid="{F6487E54-EE96-4001-85DB-BD514B7F4896}">
      <text>
        <r>
          <rPr>
            <b/>
            <sz val="9"/>
            <color indexed="81"/>
            <rFont val="Tahoma"/>
            <family val="2"/>
          </rPr>
          <t>Amber Farha:</t>
        </r>
        <r>
          <rPr>
            <sz val="9"/>
            <color indexed="81"/>
            <rFont val="Tahoma"/>
            <family val="2"/>
          </rPr>
          <t xml:space="preserve">
After the final budget meetings I made the following adjustments to this line:
Put in the $99,900 I had shown as the amount we keep if we "take the float" with the mill levy
Added $2,000 buffer to Eco Devo Fund that I forgot (subtracted from here)
Added $18,970 to Animal Control Dept in 2026 and $7,505 in 2025 for adding a part time animal control employee
Added $12,940 to Streets Dept in 2026 for seasonal hiring.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Amber Farha</author>
  </authors>
  <commentList>
    <comment ref="D18" authorId="0" shapeId="0" xr:uid="{A58251DA-37BA-46B1-B3BA-46801214DE8A}">
      <text>
        <r>
          <rPr>
            <b/>
            <sz val="9"/>
            <color indexed="81"/>
            <rFont val="Tahoma"/>
            <family val="2"/>
          </rPr>
          <t>Amber Farha:</t>
        </r>
        <r>
          <rPr>
            <sz val="9"/>
            <color indexed="81"/>
            <rFont val="Tahoma"/>
            <family val="2"/>
          </rPr>
          <t xml:space="preserve">
Lights at pee wee field</t>
        </r>
      </text>
    </comment>
  </commentList>
</comments>
</file>

<file path=xl/sharedStrings.xml><?xml version="1.0" encoding="utf-8"?>
<sst xmlns="http://schemas.openxmlformats.org/spreadsheetml/2006/main" count="1623" uniqueCount="915">
  <si>
    <t>Budget Workbook Instructions</t>
  </si>
  <si>
    <t xml:space="preserve">Please read these instructions carefully.  If after reviewing the instructions you still have questions, contact Municipal Services at 785-296-6033 or 785-296-8083; or via email to armunis@ks.gov. </t>
  </si>
  <si>
    <t xml:space="preserve">Please use the budget workbook that corresponds to the number of funds that are used by your taxing subdivision.  If you do not need all the fund pages in the workbook, leave the page number field on the unused fund pages blank and number the completed fund pages sequentially.  The Certificate page will be updated when the page numbers are entered on the fund pages. </t>
  </si>
  <si>
    <t>Submitting the Budget</t>
  </si>
  <si>
    <t>KSA 79-2930 requires budgets be submitted by electronic means to your County Clerk. Acceptable electronic formats are Microsoft Excel and Adobe PDF.</t>
  </si>
  <si>
    <t>General Instructions</t>
  </si>
  <si>
    <t xml:space="preserve">The worksheet tabs are labeled an abbreviation of the document name.  The worksheet tabs are identified in workbook by referencing the tab name in parentheses. For example, the General Fund reference is (General). </t>
  </si>
  <si>
    <t>All dollar amounts should be recorded in whole dollars (do not include cents).</t>
  </si>
  <si>
    <t xml:space="preserve">      Data should only be entered in the green-shaded cells on the budget worksheets.  </t>
  </si>
  <si>
    <t xml:space="preserve">      The beige-shaded cells of the budget worksheets contain formulas or links which should not be changed and are protected.  Most errors occur because of information entered on the input pages.  If you are experiencing a problem with a protected cell, first check to see how the information was entered on the input pages.  If the information was entered correctly, and you continue to experience problems, please contact Municipal Services for assistance. </t>
  </si>
  <si>
    <t xml:space="preserve">      The blue-shaded cells indicate where the required data input can be located. </t>
  </si>
  <si>
    <t xml:space="preserve">      Red-shaded cells are for notes or indicate a problem area that may need corrective action. </t>
  </si>
  <si>
    <r>
      <t xml:space="preserve">To print the worksheets, you can print one tab at a time or all tabs at once by highlighting the tabs that need to be printed.  </t>
    </r>
    <r>
      <rPr>
        <b/>
        <u/>
        <sz val="12"/>
        <rFont val="Times New Roman"/>
        <family val="1"/>
      </rPr>
      <t>Note</t>
    </r>
    <r>
      <rPr>
        <sz val="12"/>
        <rFont val="Times New Roman"/>
        <family val="1"/>
      </rPr>
      <t xml:space="preserve">: Do not print the instructions, input tabs, statutes, etc.  All tabs that are colored blue should be printed (if applicable) and submitted.  </t>
    </r>
  </si>
  <si>
    <t>Workbook Preparation</t>
  </si>
  <si>
    <t>Before getting started, make sure that you have all documents necessary to retrieve the input information for this year’s budget. For a list of documents to have available, see the “Preparing the Budget – Documents Needed” checklist on the Municipal Services website.</t>
  </si>
  <si>
    <r>
      <t xml:space="preserve">1. </t>
    </r>
    <r>
      <rPr>
        <u/>
        <sz val="12"/>
        <rFont val="Times New Roman"/>
        <family val="1"/>
      </rPr>
      <t>Input Prior Year (inputPrYr)</t>
    </r>
    <r>
      <rPr>
        <sz val="12"/>
        <rFont val="Times New Roman"/>
        <family val="1"/>
      </rPr>
      <t xml:space="preserve">: The information comes directly from last year's budget.  After the information has been entered, please verify the data is correct.  If at a later date, it is determined the information is incorrect, correct the information on this page, </t>
    </r>
    <r>
      <rPr>
        <u/>
        <sz val="12"/>
        <rFont val="Times New Roman"/>
        <family val="1"/>
      </rPr>
      <t>not</t>
    </r>
    <r>
      <rPr>
        <sz val="12"/>
        <rFont val="Times New Roman"/>
        <family val="1"/>
      </rPr>
      <t xml:space="preserve"> the fund page. </t>
    </r>
  </si>
  <si>
    <r>
      <t>a.</t>
    </r>
    <r>
      <rPr>
        <sz val="7"/>
        <rFont val="Times New Roman"/>
        <family val="1"/>
      </rPr>
      <t xml:space="preserve">       </t>
    </r>
    <r>
      <rPr>
        <sz val="12"/>
        <rFont val="Times New Roman"/>
        <family val="1"/>
      </rPr>
      <t>In the green-shaded cell, enter the name of the taxing subdivision. For cities, please include “City of” before the city name.</t>
    </r>
  </si>
  <si>
    <r>
      <t>b.</t>
    </r>
    <r>
      <rPr>
        <sz val="7"/>
        <rFont val="Times New Roman"/>
        <family val="1"/>
      </rPr>
      <t xml:space="preserve">      </t>
    </r>
    <r>
      <rPr>
        <sz val="12"/>
        <rFont val="Times New Roman"/>
        <family val="1"/>
      </rPr>
      <t>Dates for the entire budget workbook are controlled by the year entered into the "Enter year being budgeted (YYYY)" field. This field will be prepopulated. If you find a date that is not correct for the budget being submitted, please contact Municipal Services for assistance.</t>
    </r>
  </si>
  <si>
    <r>
      <t>c.</t>
    </r>
    <r>
      <rPr>
        <sz val="7"/>
        <rFont val="Times New Roman"/>
        <family val="1"/>
      </rPr>
      <t xml:space="preserve">       </t>
    </r>
    <r>
      <rPr>
        <u/>
        <sz val="12"/>
        <rFont val="Times New Roman"/>
        <family val="1"/>
      </rPr>
      <t>Optional</t>
    </r>
    <r>
      <rPr>
        <sz val="12"/>
        <rFont val="Times New Roman"/>
        <family val="1"/>
      </rPr>
      <t>: To the right of the last year Ad Valorem Tax column is a tool that may be used to create an estimate of ad valorem taxes to be received in the current year. Input an estimated delinquency percentage in the green-shaded cell. If you do not wish to use an estimated delinquency percentage, leave the green-shaded field at 0.00%.</t>
    </r>
  </si>
  <si>
    <r>
      <t>d.</t>
    </r>
    <r>
      <rPr>
        <sz val="7"/>
        <rFont val="Times New Roman"/>
        <family val="1"/>
      </rPr>
      <t xml:space="preserve">      </t>
    </r>
    <r>
      <rPr>
        <sz val="12"/>
        <rFont val="Times New Roman"/>
        <family val="1"/>
      </rPr>
      <t>Follow the instruction in the blue-shaded cells to complete the green-shaded input cells applicable to your budget.</t>
    </r>
  </si>
  <si>
    <r>
      <t>2.</t>
    </r>
    <r>
      <rPr>
        <sz val="12"/>
        <rFont val="Times New Roman"/>
        <family val="1"/>
      </rPr>
      <t xml:space="preserve"> </t>
    </r>
    <r>
      <rPr>
        <u/>
        <sz val="12"/>
        <rFont val="Times New Roman"/>
        <family val="1"/>
      </rPr>
      <t>Input Other (inputOth)</t>
    </r>
    <r>
      <rPr>
        <sz val="12"/>
        <rFont val="Times New Roman"/>
        <family val="1"/>
      </rPr>
      <t xml:space="preserve">: The information entered on this tab is obtained from the County Clerk, County Treasurer, Municipal Services website, and the adopted budget information from two years ago (including any amendments).  After the information has been entered, please verify the data is correct. </t>
    </r>
  </si>
  <si>
    <r>
      <t>a.</t>
    </r>
    <r>
      <rPr>
        <sz val="7"/>
        <rFont val="Times New Roman"/>
        <family val="1"/>
      </rPr>
      <t xml:space="preserve">       </t>
    </r>
    <r>
      <rPr>
        <sz val="12"/>
        <rFont val="Times New Roman"/>
        <family val="1"/>
      </rPr>
      <t>Follow instruction in the blue-shaded cells to complete the green-shaded input cells.</t>
    </r>
  </si>
  <si>
    <r>
      <t>b.</t>
    </r>
    <r>
      <rPr>
        <sz val="7"/>
        <rFont val="Times New Roman"/>
        <family val="1"/>
      </rPr>
      <t xml:space="preserve">      </t>
    </r>
    <r>
      <rPr>
        <b/>
        <u/>
        <sz val="12"/>
        <rFont val="Times New Roman"/>
        <family val="1"/>
      </rPr>
      <t>Note</t>
    </r>
    <r>
      <rPr>
        <sz val="12"/>
        <rFont val="Times New Roman"/>
        <family val="1"/>
      </rPr>
      <t>: Computation of Delinquency. This allowance is not mandatory but may be used if the municipality wishes. KSA 79-2930 states that such allowance shall not exceed by more than 5% the percentage of delinquency for the preceding tax year. The delinquency rate will be applied to all tax levy fund pages.</t>
    </r>
  </si>
  <si>
    <t>If the taxing subdivision chooses to use the delinquency rate for some but not all tax levy funds, the taxing subdivision must delete the delinquency rate from the funds that should not include delinquency. Right-click on the tab of the fund that does not require the delinquency rate estimate and select Unprotect Sheet. Delete the data in the Delinquent Comp Rate cell. Right click on the tab of the fund page and select Protect Sheet and OK. You do not need to enter a password in the Protect Sheet window. Select OK. Go to the next fund tab and complete the same steps, if applicable.</t>
  </si>
  <si>
    <r>
      <t>3.</t>
    </r>
    <r>
      <rPr>
        <sz val="12"/>
        <rFont val="Times New Roman"/>
        <family val="1"/>
      </rPr>
      <t xml:space="preserve"> </t>
    </r>
    <r>
      <rPr>
        <u/>
        <sz val="12"/>
        <rFont val="Times New Roman"/>
        <family val="1"/>
      </rPr>
      <t>Input Hearing Information (inputHearing)</t>
    </r>
    <r>
      <rPr>
        <sz val="12"/>
        <rFont val="Times New Roman"/>
        <family val="1"/>
      </rPr>
      <t xml:space="preserve">: The information entered on this tab will populate the public hearing information to the appropriate hearing notice.  Review the available options and based on the taxing subdivision needs and complete the appropriate section(s). </t>
    </r>
  </si>
  <si>
    <r>
      <t xml:space="preserve">NOTE: </t>
    </r>
    <r>
      <rPr>
        <sz val="12"/>
        <rFont val="Times New Roman"/>
        <family val="1"/>
      </rPr>
      <t xml:space="preserve">All taxing subdivisions must publish the summarized budget in order to legally adopt the budget (unless otherwise authorized by law).  To do this, either the “Budget Hearing Notice Only” or the “Combined Revenue Neutral Rate &amp; Budget Hearing Notice” section and publication should be used.  </t>
    </r>
  </si>
  <si>
    <r>
      <t>a.</t>
    </r>
    <r>
      <rPr>
        <sz val="7"/>
        <rFont val="Times New Roman"/>
        <family val="1"/>
      </rPr>
      <t xml:space="preserve">       </t>
    </r>
    <r>
      <rPr>
        <u/>
        <sz val="12"/>
        <rFont val="Times New Roman"/>
        <family val="1"/>
      </rPr>
      <t>Budget Hearing Notice Only</t>
    </r>
    <r>
      <rPr>
        <sz val="12"/>
        <rFont val="Times New Roman"/>
        <family val="1"/>
      </rPr>
      <t xml:space="preserve">: If the subdivision does not intend to exceed the RNR or will publish the RNR hearing information separately, this section may be used.  Enter the required information into the green-shaded cells. Print and review the tab (Budget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t>
    </r>
  </si>
  <si>
    <r>
      <t>b.</t>
    </r>
    <r>
      <rPr>
        <sz val="7"/>
        <rFont val="Times New Roman"/>
        <family val="1"/>
      </rPr>
      <t xml:space="preserve">      </t>
    </r>
    <r>
      <rPr>
        <u/>
        <sz val="12"/>
        <rFont val="Times New Roman"/>
        <family val="1"/>
      </rPr>
      <t>Combined Revenue Neutral Rate &amp; Budget Hearing Notice</t>
    </r>
    <r>
      <rPr>
        <sz val="12"/>
        <rFont val="Times New Roman"/>
        <family val="1"/>
      </rPr>
      <t xml:space="preserve">: If the subdivision intends to hold a hearing to exceed the RNR, the subdivision may elect to publish the rate and budget hearing together.  This alternate publication may be used for that purpose.  Enter the required information into the green-shaded cells. Print and review the tab (Combined-Rate-Bud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Additionally, the rate hearing information must be published to the taxing subdivision’s website, if maintained.  </t>
    </r>
  </si>
  <si>
    <r>
      <t>c.</t>
    </r>
    <r>
      <rPr>
        <sz val="7"/>
        <rFont val="Times New Roman"/>
        <family val="1"/>
      </rPr>
      <t xml:space="preserve">       </t>
    </r>
    <r>
      <rPr>
        <u/>
        <sz val="12"/>
        <rFont val="Times New Roman"/>
        <family val="1"/>
      </rPr>
      <t>Hearing to Exceed the Revenue Neutral Rate Notice Only</t>
    </r>
    <r>
      <rPr>
        <sz val="12"/>
        <rFont val="Times New Roman"/>
        <family val="1"/>
      </rPr>
      <t xml:space="preserve">: If the subdivision wishes to publish the hearing information to exceed the RNR separately, this alternate publication may be used.  Enter the required information into the green-shaded cells. Print and review the tab (RNR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Additionally, the rate hearing information must be published to the taxing subdivision’s website, if maintained.  </t>
    </r>
  </si>
  <si>
    <r>
      <t>4.</t>
    </r>
    <r>
      <rPr>
        <sz val="12"/>
        <rFont val="Times New Roman"/>
        <family val="1"/>
      </rPr>
      <t xml:space="preserve"> </t>
    </r>
    <r>
      <rPr>
        <u/>
        <sz val="12"/>
        <rFont val="Times New Roman"/>
        <family val="1"/>
      </rPr>
      <t>Certificate (Cert)</t>
    </r>
    <r>
      <rPr>
        <sz val="12"/>
        <rFont val="Times New Roman"/>
        <family val="1"/>
      </rPr>
      <t xml:space="preserve">:  This document is populated with information entered on the fund tabs and input tabs.  If there is incorrect information on the Certificate, do </t>
    </r>
    <r>
      <rPr>
        <u/>
        <sz val="12"/>
        <rFont val="Times New Roman"/>
        <family val="1"/>
      </rPr>
      <t>not</t>
    </r>
    <r>
      <rPr>
        <sz val="12"/>
        <rFont val="Times New Roman"/>
        <family val="1"/>
      </rPr>
      <t xml:space="preserve"> correct the Certificate directly. Correct the fund or input tab that populates the information on the Certificate.  If you cannot correct the error, please contact Municipal Services for assistance. </t>
    </r>
  </si>
  <si>
    <r>
      <t>a.</t>
    </r>
    <r>
      <rPr>
        <sz val="7"/>
        <rFont val="Times New Roman"/>
        <family val="1"/>
      </rPr>
      <t xml:space="preserve">       </t>
    </r>
    <r>
      <rPr>
        <sz val="12"/>
        <rFont val="Times New Roman"/>
        <family val="1"/>
      </rPr>
      <t>If someone other than a municipal employee assists in preparing the budget, please enter the person's or firm's name and address in the green-shaded cells provided at the bottom left.</t>
    </r>
  </si>
  <si>
    <r>
      <t>b.</t>
    </r>
    <r>
      <rPr>
        <sz val="7"/>
        <rFont val="Times New Roman"/>
        <family val="1"/>
      </rPr>
      <t xml:space="preserve">      </t>
    </r>
    <r>
      <rPr>
        <sz val="12"/>
        <rFont val="Times New Roman"/>
        <family val="1"/>
      </rPr>
      <t xml:space="preserve">This is a required document and must be included in the adopted budget submitted to the County Clerk. </t>
    </r>
  </si>
  <si>
    <r>
      <t>5.</t>
    </r>
    <r>
      <rPr>
        <sz val="12"/>
        <rFont val="Times New Roman"/>
        <family val="1"/>
      </rPr>
      <t xml:space="preserve">  </t>
    </r>
    <r>
      <rPr>
        <u/>
        <sz val="12"/>
        <rFont val="Times New Roman"/>
        <family val="1"/>
      </rPr>
      <t>Allocation of MV, RV, 16/20M, Commercial Vehicle and Watercraft Tax Estimates (Mvalloc)</t>
    </r>
    <r>
      <rPr>
        <sz val="12"/>
        <rFont val="Times New Roman"/>
        <family val="1"/>
      </rPr>
      <t>: This information populated from the information entered on inputPrYr and inputOth.  Once calculated, the motor allocation information is linked to the applicable fund pages. If information concerning on this tab is not correct, do not make changes to this tab, but rather correct the information on inputPrYr and/or inputOth.</t>
    </r>
  </si>
  <si>
    <r>
      <t>a.</t>
    </r>
    <r>
      <rPr>
        <sz val="7"/>
        <rFont val="Times New Roman"/>
        <family val="1"/>
      </rPr>
      <t xml:space="preserve">       </t>
    </r>
    <r>
      <rPr>
        <sz val="12"/>
        <rFont val="Times New Roman"/>
        <family val="1"/>
      </rPr>
      <t xml:space="preserve">This is a required document and must be included in the adopted budget submitted to the County Clerk. </t>
    </r>
  </si>
  <si>
    <r>
      <t>6.</t>
    </r>
    <r>
      <rPr>
        <sz val="12"/>
        <rFont val="Times New Roman"/>
        <family val="1"/>
      </rPr>
      <t xml:space="preserve"> </t>
    </r>
    <r>
      <rPr>
        <u/>
        <sz val="12"/>
        <rFont val="Times New Roman"/>
        <family val="1"/>
      </rPr>
      <t>Schedule of Transfers (Transfers)</t>
    </r>
    <r>
      <rPr>
        <sz val="12"/>
        <rFont val="Times New Roman"/>
        <family val="1"/>
      </rPr>
      <t xml:space="preserve">:  This document reports all actual, current, and proposed transfers for the taxing subdivision. Provide the statute that authorizes the transfer. The Transfer Statutes (Transfer Statutes) tab lists applicable transfer statutes for reference. If Home Rule is applied, provide the charter ordinance number in place of the statute. </t>
    </r>
  </si>
  <si>
    <r>
      <t>a.</t>
    </r>
    <r>
      <rPr>
        <sz val="7"/>
        <rFont val="Times New Roman"/>
        <family val="1"/>
      </rPr>
      <t xml:space="preserve">      </t>
    </r>
    <r>
      <rPr>
        <sz val="12"/>
        <rFont val="Times New Roman"/>
        <family val="1"/>
      </rPr>
      <t xml:space="preserve">The transfers are totaled at the bottom of the schedule and the aggregate transfer amount is linked to the hearing notice pages.    </t>
    </r>
  </si>
  <si>
    <r>
      <t>b.</t>
    </r>
    <r>
      <rPr>
        <sz val="7"/>
        <rFont val="Times New Roman"/>
        <family val="1"/>
      </rPr>
      <t xml:space="preserve">       </t>
    </r>
    <r>
      <rPr>
        <sz val="12"/>
        <rFont val="Times New Roman"/>
        <family val="1"/>
      </rPr>
      <t xml:space="preserve">Adjustments are made for only those non-budgeted expenditure transfers appearing in the current and/or proposed columns of the schedule and do not have expenditures shown in the hearing notice current and proposed columns. These types of transfers are not truly an expenditure at this time and as such an adjustment is needed to show the taxpayers the actual expenditures for the municipality. </t>
    </r>
  </si>
  <si>
    <r>
      <t>c.</t>
    </r>
    <r>
      <rPr>
        <sz val="7"/>
        <rFont val="Times New Roman"/>
        <family val="1"/>
      </rPr>
      <t xml:space="preserve">      </t>
    </r>
    <r>
      <rPr>
        <sz val="12"/>
        <rFont val="Times New Roman"/>
        <family val="1"/>
      </rPr>
      <t>Each transfer listed must be recorded on the appropriate fund pages (tabs) the individual completed fund pages.</t>
    </r>
  </si>
  <si>
    <r>
      <t>d.</t>
    </r>
    <r>
      <rPr>
        <sz val="7"/>
        <rFont val="Times New Roman"/>
        <family val="1"/>
      </rPr>
      <t xml:space="preserve">       </t>
    </r>
    <r>
      <rPr>
        <sz val="12"/>
        <rFont val="Times New Roman"/>
        <family val="1"/>
      </rPr>
      <t xml:space="preserve">If there are no transfers, leave as zeroes. This document must be included in the adopted budget submitted to the County Clerk. </t>
    </r>
  </si>
  <si>
    <r>
      <t>7.</t>
    </r>
    <r>
      <rPr>
        <sz val="12"/>
        <rFont val="Times New Roman"/>
        <family val="1"/>
      </rPr>
      <t xml:space="preserve">  </t>
    </r>
    <r>
      <rPr>
        <u/>
        <sz val="12"/>
        <rFont val="Times New Roman"/>
        <family val="1"/>
      </rPr>
      <t>Statement of Indebtedness (Debt)</t>
    </r>
    <r>
      <rPr>
        <sz val="12"/>
        <rFont val="Times New Roman"/>
        <family val="1"/>
      </rPr>
      <t xml:space="preserve">: This document must show all of the debt owed or proposed to be issued.  The general obligation and revenue bond totals for the budget year are linked to the hearing notice pages.  </t>
    </r>
  </si>
  <si>
    <r>
      <t>a.</t>
    </r>
    <r>
      <rPr>
        <sz val="7"/>
        <rFont val="Times New Roman"/>
        <family val="1"/>
      </rPr>
      <t xml:space="preserve">       </t>
    </r>
    <r>
      <rPr>
        <sz val="12"/>
        <rFont val="Times New Roman"/>
        <family val="1"/>
      </rPr>
      <t xml:space="preserve">If the taxing subdivision does not have any debt, enter “None” on the first line. This document must be included in the adopted budget submitted to the County Clerk. </t>
    </r>
  </si>
  <si>
    <r>
      <t>8.</t>
    </r>
    <r>
      <rPr>
        <sz val="12"/>
        <rFont val="Times New Roman"/>
        <family val="1"/>
      </rPr>
      <t xml:space="preserve">  </t>
    </r>
    <r>
      <rPr>
        <u/>
        <sz val="12"/>
        <rFont val="Times New Roman"/>
        <family val="1"/>
      </rPr>
      <t>Statement of Conditional Lease, Lease-Purchases and Certificate of Participation (LP Form)</t>
    </r>
    <r>
      <rPr>
        <sz val="12"/>
        <rFont val="Times New Roman"/>
        <family val="1"/>
      </rPr>
      <t xml:space="preserve">: This document must be completed for all transactions in which the taxing subdivision intends to own the equipment.  Principal Balance Due for the actual year is linked to the hearing notice pages. </t>
    </r>
  </si>
  <si>
    <r>
      <t>a.</t>
    </r>
    <r>
      <rPr>
        <sz val="7"/>
        <rFont val="Times New Roman"/>
        <family val="1"/>
      </rPr>
      <t xml:space="preserve">       </t>
    </r>
    <r>
      <rPr>
        <sz val="12"/>
        <rFont val="Times New Roman"/>
        <family val="1"/>
      </rPr>
      <t>If the taxing subdivision does not have any leases, enter 'None' on the first line. This document must be included in the adopted budget submitted to the County Clerk.</t>
    </r>
  </si>
  <si>
    <r>
      <t>9.</t>
    </r>
    <r>
      <rPr>
        <sz val="12"/>
        <rFont val="Times New Roman"/>
        <family val="1"/>
      </rPr>
      <t xml:space="preserve"> </t>
    </r>
    <r>
      <rPr>
        <u/>
        <sz val="12"/>
        <rFont val="Times New Roman"/>
        <family val="1"/>
      </rPr>
      <t>Worksheet for State Grant-In-Aid to Public Libraries and Regional Library Systems (Library Grant)</t>
    </r>
    <r>
      <rPr>
        <sz val="12"/>
        <rFont val="Times New Roman"/>
        <family val="1"/>
      </rPr>
      <t xml:space="preserve">: This information is populated from the Library fund page and is used to determine if the municipality qualifies for a State grant. If qualified, the bottom of the Library fund page will say “Qualifies for State Library Grant” in red. If not qualified, it will say “See Library Grant tab.”  </t>
    </r>
  </si>
  <si>
    <r>
      <t>a.</t>
    </r>
    <r>
      <rPr>
        <sz val="7"/>
        <rFont val="Times New Roman"/>
        <family val="1"/>
      </rPr>
      <t xml:space="preserve">       </t>
    </r>
    <r>
      <rPr>
        <sz val="12"/>
        <rFont val="Times New Roman"/>
        <family val="1"/>
      </rPr>
      <t>For subdivisions with a library: If the Library fund page is used, the Certificate page will update the Table of Contents to show “Computation to Determine State Library Grant.” This worksheet will be a required document in the adopted budget submitted to the County Clerk.</t>
    </r>
  </si>
  <si>
    <r>
      <t>b.</t>
    </r>
    <r>
      <rPr>
        <sz val="7"/>
        <rFont val="Times New Roman"/>
        <family val="1"/>
      </rPr>
      <t xml:space="preserve">      </t>
    </r>
    <r>
      <rPr>
        <sz val="12"/>
        <rFont val="Times New Roman"/>
        <family val="1"/>
      </rPr>
      <t xml:space="preserve">For subdivisions without a library: No action is required, and this page </t>
    </r>
    <r>
      <rPr>
        <i/>
        <sz val="12"/>
        <rFont val="Times New Roman"/>
        <family val="1"/>
      </rPr>
      <t xml:space="preserve">does not </t>
    </r>
    <r>
      <rPr>
        <sz val="12"/>
        <rFont val="Times New Roman"/>
        <family val="1"/>
      </rPr>
      <t>need to be included in the adopted budget submitted to the County Clerk.</t>
    </r>
  </si>
  <si>
    <r>
      <t>10.</t>
    </r>
    <r>
      <rPr>
        <sz val="12"/>
        <rFont val="Times New Roman"/>
        <family val="1"/>
      </rPr>
      <t xml:space="preserve">  The budget workbook has individual fund sheets such as, but not limited to, General Fund (General), Debt Service and Library levy fund (DebtSvs-Library), levy funds (Levy Page #), Special Highway fund (Spec Hwy), non-levy funds (No Levy Page #) and single no levy funds (Single No Levy Page #).  Only complete the fund pages needed.  </t>
    </r>
    <r>
      <rPr>
        <b/>
        <u/>
        <sz val="12"/>
        <rFont val="Times New Roman"/>
        <family val="1"/>
      </rPr>
      <t>Do not delete unused pages.</t>
    </r>
    <r>
      <rPr>
        <sz val="12"/>
        <rFont val="Times New Roman"/>
        <family val="1"/>
      </rPr>
      <t xml:space="preserve"> When the fund pages are completed, the totals will be shown on the Certificate and hearing notice pages.</t>
    </r>
  </si>
  <si>
    <r>
      <t>a.</t>
    </r>
    <r>
      <rPr>
        <sz val="7"/>
        <rFont val="Times New Roman"/>
        <family val="1"/>
      </rPr>
      <t xml:space="preserve">       </t>
    </r>
    <r>
      <rPr>
        <sz val="12"/>
        <rFont val="Times New Roman"/>
        <family val="1"/>
      </rPr>
      <t>The page number for the General Fund and General Fund Detail do not prepopulate.  Once the page number is manually entered at the bottom of the General Fund page, the correct page number will auto-populate at the bottom of the General Fund Detail page. If the taxing subdivision has a Library Fund, the Library Grant page will auto-populate.</t>
    </r>
  </si>
  <si>
    <r>
      <t>b.</t>
    </r>
    <r>
      <rPr>
        <sz val="7"/>
        <rFont val="Times New Roman"/>
        <family val="1"/>
      </rPr>
      <t xml:space="preserve">      </t>
    </r>
    <r>
      <rPr>
        <sz val="12"/>
        <rFont val="Times New Roman"/>
        <family val="1"/>
      </rPr>
      <t xml:space="preserve">On all tax levy fund pages, see the “Projected Carryover” tool for the proposed budgeted year.   The carryover tool provides insight as what the projected cash might be using figures from the budget being submitted.  The figures used are only estimates and if the actual receipts or expenditures vary, the projected cash carryover will be affected.  </t>
    </r>
    <r>
      <rPr>
        <b/>
        <u/>
        <sz val="12"/>
        <rFont val="Times New Roman"/>
        <family val="1"/>
      </rPr>
      <t>Note</t>
    </r>
    <r>
      <rPr>
        <sz val="12"/>
        <rFont val="Times New Roman"/>
        <family val="1"/>
      </rPr>
      <t>: delinquent taxes are not included in the projected carryover as they have a major impact on the “Desired Carryover” tool.</t>
    </r>
  </si>
  <si>
    <r>
      <t>c.</t>
    </r>
    <r>
      <rPr>
        <sz val="7"/>
        <rFont val="Times New Roman"/>
        <family val="1"/>
      </rPr>
      <t xml:space="preserve">       </t>
    </r>
    <r>
      <rPr>
        <sz val="12"/>
        <rFont val="Times New Roman"/>
        <family val="1"/>
      </rPr>
      <t xml:space="preserve">On all tax levy fund page, see the “Desired Carryover” tool. This is used to estimate a desired carryover amount and show the estimated mill rate impact along with the expenditure adjustments required to reach the desired carryover.  </t>
    </r>
    <r>
      <rPr>
        <b/>
        <u/>
        <sz val="12"/>
        <rFont val="Times New Roman"/>
        <family val="1"/>
      </rPr>
      <t>Note</t>
    </r>
    <r>
      <rPr>
        <sz val="12"/>
        <rFont val="Times New Roman"/>
        <family val="1"/>
      </rPr>
      <t>: if a delinquency rate is used, the tool may require several adjustments to get the desired amount or close to the desire amount.</t>
    </r>
  </si>
  <si>
    <r>
      <t>d.</t>
    </r>
    <r>
      <rPr>
        <sz val="7"/>
        <rFont val="Times New Roman"/>
        <family val="1"/>
      </rPr>
      <t xml:space="preserve">      </t>
    </r>
    <r>
      <rPr>
        <sz val="12"/>
        <rFont val="Times New Roman"/>
        <family val="1"/>
      </rPr>
      <t xml:space="preserve">On all tax levy fund pages, we have placed “Estimated Mill Rate &amp; Revenue Neutral Rate Comparison” tool. This tool is used to illustrate and compare the fund rates (both estimated and current year) as well as the total rates (estimated and current year). Additionally, users will see the RNR to determine whether the process in KSA 79-2988 should be followed. If a RNR hearing is required, “Yes” will appear in a red box, and a red statement with additional instruction will appear. </t>
    </r>
  </si>
  <si>
    <r>
      <t>e.</t>
    </r>
    <r>
      <rPr>
        <sz val="7"/>
        <rFont val="Times New Roman"/>
        <family val="1"/>
      </rPr>
      <t xml:space="preserve">       </t>
    </r>
    <r>
      <rPr>
        <u/>
        <sz val="12"/>
        <rFont val="Times New Roman"/>
        <family val="1"/>
      </rPr>
      <t>General Detail Page (General Detail)</t>
    </r>
    <r>
      <rPr>
        <sz val="12"/>
        <rFont val="Times New Roman"/>
        <family val="1"/>
      </rPr>
      <t xml:space="preserve">:  This page shows detailed expenditures for the General Fund departments.  If used, you will input each department name and expenditures on this page </t>
    </r>
    <r>
      <rPr>
        <i/>
        <sz val="12"/>
        <rFont val="Times New Roman"/>
        <family val="1"/>
      </rPr>
      <t xml:space="preserve">and </t>
    </r>
    <r>
      <rPr>
        <sz val="12"/>
        <rFont val="Times New Roman"/>
        <family val="1"/>
      </rPr>
      <t xml:space="preserve">input the department name and </t>
    </r>
    <r>
      <rPr>
        <u/>
        <sz val="12"/>
        <rFont val="Times New Roman"/>
        <family val="1"/>
      </rPr>
      <t>total</t>
    </r>
    <r>
      <rPr>
        <sz val="12"/>
        <rFont val="Times New Roman"/>
        <family val="1"/>
      </rPr>
      <t xml:space="preserve"> expenditures on the General Fund page. Department transfers should be shown on the General Fund page only. Departments with like transfers may be shown together on the General Fund page as single line items. For example: if several departments have a transfer for equipment reserve, the total of all equipment reserve transfers should be shown on the General Fund page as “Transfer to Equipment Reserve” for each budgeted year.</t>
    </r>
  </si>
  <si>
    <r>
      <t>f.</t>
    </r>
    <r>
      <rPr>
        <sz val="7"/>
        <rFont val="Times New Roman"/>
        <family val="1"/>
      </rPr>
      <t xml:space="preserve">        </t>
    </r>
    <r>
      <rPr>
        <sz val="12"/>
        <rFont val="Times New Roman"/>
        <family val="1"/>
      </rPr>
      <t xml:space="preserve">Each tax levy fund will have an expenditure line for neighborhood revitalization.  Only input the rebate amounts for the </t>
    </r>
    <r>
      <rPr>
        <b/>
        <sz val="12"/>
        <rFont val="Times New Roman"/>
        <family val="1"/>
      </rPr>
      <t>actual and current year</t>
    </r>
    <r>
      <rPr>
        <sz val="12"/>
        <rFont val="Times New Roman"/>
        <family val="1"/>
      </rPr>
      <t xml:space="preserve">.  The proposed budget year amount will be computed for you. Please see step 12 for neighborhood revitalization rebate instructions for the proposed budget year. </t>
    </r>
  </si>
  <si>
    <r>
      <t>g.</t>
    </r>
    <r>
      <rPr>
        <sz val="7"/>
        <rFont val="Times New Roman"/>
        <family val="1"/>
      </rPr>
      <t xml:space="preserve">      </t>
    </r>
    <r>
      <rPr>
        <u/>
        <sz val="12"/>
        <rFont val="Times New Roman"/>
        <family val="1"/>
      </rPr>
      <t>Optional</t>
    </r>
    <r>
      <rPr>
        <sz val="12"/>
        <rFont val="Times New Roman"/>
        <family val="1"/>
      </rPr>
      <t xml:space="preserve">: All levy fund pages have a Non-Appropriated Balance cell. It is not mandatory enter an amount or the Non-Appropriated Balance.  KSA 79-2927 allows the taxing subdivision to enter an amount not to exceed 5% of the total expenditures for each fund. If the amount entered in the cell exceeds the 5%, a warning "Exceeds 5%" will appear and the block will turn red.  In order to remove this warning message, you must reduce the non-appropriated amount. </t>
    </r>
  </si>
  <si>
    <r>
      <t>h.</t>
    </r>
    <r>
      <rPr>
        <sz val="7"/>
        <rFont val="Times New Roman"/>
        <family val="1"/>
      </rPr>
      <t xml:space="preserve">      </t>
    </r>
    <r>
      <rPr>
        <sz val="12"/>
        <rFont val="Times New Roman"/>
        <family val="1"/>
      </rPr>
      <t xml:space="preserve">Each fund page has a “Miscellaneous” receipt and expenditure line item.  Once an amount has been entered into the cell for actual/current/proposed columns, the amount will be compared with either total expenditures or total receipts to determine if it exceeds the 10% Rule in KSA 79-2927.  If the amount exceeds the 10% Rule, the block will turn red, the amount bolded, and “Exceed 10% Rule” will appear in red.  To remove the statement and return the block to normal, you must reduce the amount to either 10% or less. </t>
    </r>
    <r>
      <rPr>
        <b/>
        <u/>
        <sz val="12"/>
        <rFont val="Times New Roman"/>
        <family val="1"/>
      </rPr>
      <t>Note</t>
    </r>
    <r>
      <rPr>
        <sz val="12"/>
        <rFont val="Times New Roman"/>
        <family val="1"/>
      </rPr>
      <t>: Under the proposed column, the miscellaneous receipt takes into consideration the amount of ad valorem taxes in determining the 10% Rule.</t>
    </r>
  </si>
  <si>
    <r>
      <t>i.</t>
    </r>
    <r>
      <rPr>
        <sz val="7"/>
        <rFont val="Times New Roman"/>
        <family val="1"/>
      </rPr>
      <t xml:space="preserve">        </t>
    </r>
    <r>
      <rPr>
        <u/>
        <sz val="12"/>
        <rFont val="Times New Roman"/>
        <family val="1"/>
      </rPr>
      <t>Debt Service fund page (DebtSvs-Library)</t>
    </r>
    <r>
      <rPr>
        <sz val="12"/>
        <rFont val="Times New Roman"/>
        <family val="1"/>
      </rPr>
      <t xml:space="preserve">: This fund page may contain all debts owed by the taxing subdivision and the amounts should agree with the Statement of Indebtedness amounts.  Debts that are pledged from a revenue stream should have enough funds transferred into the Debt Service fund to cover the bond principal and interest for these debts. </t>
    </r>
    <r>
      <rPr>
        <b/>
        <u/>
        <sz val="12"/>
        <rFont val="Times New Roman"/>
        <family val="1"/>
      </rPr>
      <t>Note</t>
    </r>
    <r>
      <rPr>
        <sz val="12"/>
        <rFont val="Times New Roman"/>
        <family val="1"/>
      </rPr>
      <t>: Debts pledged from revenue streams are not required to be included in the Debt Service fund page but can be paid from the fund in which the revenue stream is located. If the taxing subdivision has No Fund warrants, these can be included in the Debt Service fund page and levy taxes for this debt. No Fund warrants are not required to be included in the Debt Service fund and may have a separate Tax Levy Fund to account for them.</t>
    </r>
  </si>
  <si>
    <t xml:space="preserve">See step 9 for detailed instruction on the library fund. </t>
  </si>
  <si>
    <r>
      <t>j.</t>
    </r>
    <r>
      <rPr>
        <sz val="7"/>
        <rFont val="Times New Roman"/>
        <family val="1"/>
      </rPr>
      <t xml:space="preserve">        </t>
    </r>
    <r>
      <rPr>
        <u/>
        <sz val="12"/>
        <rFont val="Times New Roman"/>
        <family val="1"/>
      </rPr>
      <t>Funds with No Tax Levy fund page (No Levy Page #)</t>
    </r>
    <r>
      <rPr>
        <sz val="12"/>
        <rFont val="Times New Roman"/>
        <family val="1"/>
      </rPr>
      <t xml:space="preserve">:  These pages will be used to budget any fund that does not have the authority or need to levy an ad valorem property tax. These funds will have revenues of fees, sales tax, license, enterprise, etc.  </t>
    </r>
  </si>
  <si>
    <r>
      <t>k.</t>
    </r>
    <r>
      <rPr>
        <sz val="7"/>
        <rFont val="Times New Roman"/>
        <family val="1"/>
      </rPr>
      <t xml:space="preserve">      </t>
    </r>
    <r>
      <rPr>
        <u/>
        <sz val="12"/>
        <rFont val="Times New Roman"/>
        <family val="1"/>
      </rPr>
      <t>Single No Tax Levy fund page (Single No Levy Page #)</t>
    </r>
    <r>
      <rPr>
        <sz val="12"/>
        <rFont val="Times New Roman"/>
        <family val="1"/>
      </rPr>
      <t>: These pages are for funds with numerous lines for receipts or expenditures that do not fit on one of the other no levy fund pages.  Additional lines may be added as needed. Please contact Municipal Services for assistance.</t>
    </r>
  </si>
  <si>
    <r>
      <t>l.</t>
    </r>
    <r>
      <rPr>
        <sz val="7"/>
        <rFont val="Times New Roman"/>
        <family val="1"/>
      </rPr>
      <t xml:space="preserve">        </t>
    </r>
    <r>
      <rPr>
        <u/>
        <sz val="12"/>
        <rFont val="Times New Roman"/>
        <family val="1"/>
      </rPr>
      <t>Non-Budgeted Funds (Non-Budgeted Funds)</t>
    </r>
    <r>
      <rPr>
        <sz val="12"/>
        <rFont val="Times New Roman"/>
        <family val="1"/>
      </rPr>
      <t xml:space="preserve">: The non-budgeted funds are only required to show the actual year receipts and expenditures. The expenditures total will populate the hearing notice page. Normally, the unencumbered cash balance should end with a positive cash balance.  If it ends with a negative, the worksheet will indicate the negative balance by displaying “See Tab B” in red under the unencumbered cash balance. Use Tab B to determine if corrective action is available.  </t>
    </r>
  </si>
  <si>
    <r>
      <t>m.</t>
    </r>
    <r>
      <rPr>
        <sz val="7"/>
        <rFont val="Times New Roman"/>
        <family val="1"/>
      </rPr>
      <t xml:space="preserve">    </t>
    </r>
    <r>
      <rPr>
        <u/>
        <sz val="12"/>
        <rFont val="Times New Roman"/>
        <family val="1"/>
      </rPr>
      <t>Tab A and Tab B</t>
    </r>
    <r>
      <rPr>
        <sz val="12"/>
        <rFont val="Times New Roman"/>
        <family val="1"/>
      </rPr>
      <t xml:space="preserve">: If the </t>
    </r>
    <r>
      <rPr>
        <i/>
        <sz val="12"/>
        <rFont val="Times New Roman"/>
        <family val="1"/>
      </rPr>
      <t>prior year</t>
    </r>
    <r>
      <rPr>
        <sz val="12"/>
        <rFont val="Times New Roman"/>
        <family val="1"/>
      </rPr>
      <t xml:space="preserve"> total expenditures on any budgeted fund page exceeds the budget authority amount, "See Tab A" will appear in red to indicate a possible prior year budget law violation.  If a fund ended the prior year with a negative cash balance, "See Tab B" will appear in red to indicate a possible prior year cash basis law violation.  Use Tab A and Tab B to determine if corrective action is available.</t>
    </r>
  </si>
  <si>
    <r>
      <t>n.</t>
    </r>
    <r>
      <rPr>
        <sz val="7"/>
        <rFont val="Times New Roman"/>
        <family val="1"/>
      </rPr>
      <t xml:space="preserve">      </t>
    </r>
    <r>
      <rPr>
        <u/>
        <sz val="12"/>
        <rFont val="Times New Roman"/>
        <family val="1"/>
      </rPr>
      <t>Tab C and Tab D</t>
    </r>
    <r>
      <rPr>
        <sz val="12"/>
        <rFont val="Times New Roman"/>
        <family val="1"/>
      </rPr>
      <t xml:space="preserve">: If the </t>
    </r>
    <r>
      <rPr>
        <i/>
        <sz val="12"/>
        <rFont val="Times New Roman"/>
        <family val="1"/>
      </rPr>
      <t>current year</t>
    </r>
    <r>
      <rPr>
        <sz val="12"/>
        <rFont val="Times New Roman"/>
        <family val="1"/>
      </rPr>
      <t xml:space="preserve"> adjusted expenditures on any budgeted fund page exceeds the budget authority amount, “See Tab C” will appear in red to indicate a possible current year budget law violation. If a fund ends the current year with a negative cash balance "See Tab D" will appear in red to indicate a possible current year cash basis law violation. Use Tab C and Tab D to determine if corrective action is available.</t>
    </r>
  </si>
  <si>
    <r>
      <t>o.</t>
    </r>
    <r>
      <rPr>
        <sz val="7"/>
        <rFont val="Times New Roman"/>
        <family val="1"/>
      </rPr>
      <t xml:space="preserve">      </t>
    </r>
    <r>
      <rPr>
        <u/>
        <sz val="12"/>
        <rFont val="Times New Roman"/>
        <family val="1"/>
      </rPr>
      <t>Tab E</t>
    </r>
    <r>
      <rPr>
        <sz val="12"/>
        <rFont val="Times New Roman"/>
        <family val="1"/>
      </rPr>
      <t xml:space="preserve">: If the </t>
    </r>
    <r>
      <rPr>
        <i/>
        <sz val="12"/>
        <rFont val="Times New Roman"/>
        <family val="1"/>
      </rPr>
      <t>proposed budget</t>
    </r>
    <r>
      <rPr>
        <sz val="12"/>
        <rFont val="Times New Roman"/>
        <family val="1"/>
      </rPr>
      <t xml:space="preserve"> cash balance is negative, “See Tab E” will appear in red to indicate a possible proposed budget year budget law violation. Use Tab E to determine if corrective action is available. </t>
    </r>
  </si>
  <si>
    <r>
      <t>11.</t>
    </r>
    <r>
      <rPr>
        <sz val="12"/>
        <rFont val="Times New Roman"/>
        <family val="1"/>
      </rPr>
      <t xml:space="preserve">  </t>
    </r>
    <r>
      <rPr>
        <u/>
        <sz val="12"/>
        <rFont val="Times New Roman"/>
        <family val="1"/>
      </rPr>
      <t>Hearing Notices (Budget Hearing Notice), (Combined Rate-Bud Hearing Notice), (RNR Hearing Notice)</t>
    </r>
    <r>
      <rPr>
        <sz val="12"/>
        <rFont val="Times New Roman"/>
        <family val="1"/>
      </rPr>
      <t xml:space="preserve">: These pages will populate the required information from other worksheets.  If you find information that is not correct, please go to the worksheet from which the information originates to make the correction. If you cannot correct the error, please contact Municipal Services for assistance.   </t>
    </r>
  </si>
  <si>
    <r>
      <t>a.</t>
    </r>
    <r>
      <rPr>
        <sz val="7"/>
        <rFont val="Times New Roman"/>
        <family val="1"/>
      </rPr>
      <t xml:space="preserve">       </t>
    </r>
    <r>
      <rPr>
        <sz val="12"/>
        <rFont val="Times New Roman"/>
        <family val="1"/>
      </rPr>
      <t>The inputHearing tab is used to place information on the respective hearing notice options.  On input tab you will key in the following information: Name of Person presenting the budget, Title of Person, date the budget hearing will be held, time of the hearing, location of the budget hearing, and a place whereas the taxpayers can obtain a copy of the budget.</t>
    </r>
  </si>
  <si>
    <r>
      <t>b.</t>
    </r>
    <r>
      <rPr>
        <sz val="7"/>
        <rFont val="Times New Roman"/>
        <family val="1"/>
      </rPr>
      <t xml:space="preserve">      </t>
    </r>
    <r>
      <rPr>
        <sz val="12"/>
        <rFont val="Times New Roman"/>
        <family val="1"/>
      </rPr>
      <t>At the bottom of the hearing notice pages is a green-shaded cell, enter the page number.</t>
    </r>
  </si>
  <si>
    <r>
      <t>c.</t>
    </r>
    <r>
      <rPr>
        <sz val="7"/>
        <rFont val="Times New Roman"/>
        <family val="1"/>
      </rPr>
      <t xml:space="preserve">       </t>
    </r>
    <r>
      <rPr>
        <u/>
        <sz val="12"/>
        <rFont val="Times New Roman"/>
        <family val="1"/>
      </rPr>
      <t>Optional Tools</t>
    </r>
    <r>
      <rPr>
        <sz val="12"/>
        <rFont val="Times New Roman"/>
        <family val="1"/>
      </rPr>
      <t>: The following tools are not required to be used but are designed for different budget targets.</t>
    </r>
  </si>
  <si>
    <r>
      <t xml:space="preserve"> </t>
    </r>
    <r>
      <rPr>
        <sz val="12"/>
        <rFont val="Times New Roman"/>
        <family val="1"/>
      </rPr>
      <t>i.</t>
    </r>
    <r>
      <rPr>
        <sz val="7"/>
        <rFont val="Times New Roman"/>
        <family val="1"/>
      </rPr>
      <t xml:space="preserve">      </t>
    </r>
    <r>
      <rPr>
        <sz val="12"/>
        <rFont val="Times New Roman"/>
        <family val="1"/>
      </rPr>
      <t xml:space="preserve">The “Estimated Value of One Mill” tool shows what 1 mill rate would generate in dollars for the municipality, based on the estimated valuation input on the inputOth tab.  </t>
    </r>
  </si>
  <si>
    <r>
      <rPr>
        <sz val="12"/>
        <rFont val="Times New Roman"/>
        <family val="1"/>
      </rPr>
      <t>ii.</t>
    </r>
    <r>
      <rPr>
        <sz val="7"/>
        <rFont val="Times New Roman"/>
        <family val="1"/>
      </rPr>
      <t xml:space="preserve">      </t>
    </r>
    <r>
      <rPr>
        <sz val="12"/>
        <rFont val="Times New Roman"/>
        <family val="1"/>
      </rPr>
      <t xml:space="preserve">The “What the Mill Rate the Same As” and “Impact on Keeping the Same Mill Rate” tools show the impact if the previous mill rate is used for the proposed budgeted year.  To achieve this mill rate, the tax levy fund expenditures will need to be changed by the amount shown.  Depending upon the number of tax levy funds involved, the change can be made to one fund, combination of funds, or all tax levy fund expenditures.  </t>
    </r>
    <r>
      <rPr>
        <u/>
        <sz val="12"/>
        <rFont val="Times New Roman"/>
        <family val="1"/>
      </rPr>
      <t>Note</t>
    </r>
    <r>
      <rPr>
        <sz val="12"/>
        <rFont val="Times New Roman"/>
        <family val="1"/>
      </rPr>
      <t xml:space="preserve">: If a delinquency rate is used on the tax levy fund pages, the tool may require several adjustments to get the desired result or close to the desired amount. </t>
    </r>
  </si>
  <si>
    <r>
      <rPr>
        <sz val="12"/>
        <rFont val="Times New Roman"/>
        <family val="1"/>
      </rPr>
      <t>iii.</t>
    </r>
    <r>
      <rPr>
        <sz val="7"/>
        <rFont val="Times New Roman"/>
        <family val="1"/>
      </rPr>
      <t xml:space="preserve">      </t>
    </r>
    <r>
      <rPr>
        <sz val="12"/>
        <rFont val="Times New Roman"/>
        <family val="1"/>
      </rPr>
      <t>The “Mill Rate Estimates versus Mill Rate Target” tool allows the municipality to enter a target mill rate and compare such rate with the estimated rate, as well as the RNR.  This tool will show the amount of expenditure adjustments required to hit the rate target. If a rate hearing/resolution is required based on the estimated mill rate, a red warning “Yes” and a statement “Follow procedure prescribed by KSA 79-2988 to exceed the Revenue Neutral Rate” will appear.</t>
    </r>
  </si>
  <si>
    <r>
      <t>d.</t>
    </r>
    <r>
      <rPr>
        <sz val="7"/>
        <rFont val="Times New Roman"/>
        <family val="1"/>
      </rPr>
      <t xml:space="preserve">      </t>
    </r>
    <r>
      <rPr>
        <sz val="12"/>
        <rFont val="Times New Roman"/>
        <family val="1"/>
      </rPr>
      <t xml:space="preserve"> Before printing, review the selected hearing notice to ensure the information has accurately populated and the figures are correct. Print the page, have an official sign it, and submit to the local newspaper for printing. For those municipalities that are electronically sending the summary to the newspaper, you can type in the official name before sending.  Signing the document is desired, but not signing will not cause the municipality to reprint. </t>
    </r>
    <r>
      <rPr>
        <b/>
        <sz val="12"/>
        <rFont val="Times New Roman"/>
        <family val="1"/>
      </rPr>
      <t>WARNING</t>
    </r>
    <r>
      <rPr>
        <sz val="12"/>
        <rFont val="Times New Roman"/>
        <family val="1"/>
      </rPr>
      <t>: The newspaper publication must occur at least 10 days prior to the hearing date.  If the newspaper publication is not at least 10 days prior to the hearing, the municipality may need to republish.</t>
    </r>
  </si>
  <si>
    <t xml:space="preserve">Once the hearing notice has been printed in the local newspaper, please review the notice to ensure the information was correctly printed and readable.  If the information is not correct, the notice may need to be republished, and may delay the submission of the budget to the County Clerk and the timeline prescribed by KSA 79-2988 to exceed the RNR. </t>
  </si>
  <si>
    <r>
      <t>12.</t>
    </r>
    <r>
      <rPr>
        <sz val="12"/>
        <rFont val="Times New Roman"/>
        <family val="1"/>
      </rPr>
      <t xml:space="preserve"> </t>
    </r>
    <r>
      <rPr>
        <u/>
        <sz val="12"/>
        <rFont val="Times New Roman"/>
        <family val="1"/>
      </rPr>
      <t>Neighborhood Revitalization (NR Rebate)</t>
    </r>
    <r>
      <rPr>
        <sz val="12"/>
        <rFont val="Times New Roman"/>
        <family val="1"/>
      </rPr>
      <t xml:space="preserve">: This document should be completed only after all tax levy fund pages have been completed and the estimated levy rates have been computed on the Budget Summary page.  The ad valorem amounts for each fund will be input into the neighborhood revitalization tool.  The tool will compute the estimated amount of rebate and populate the estimated rebate to each tax levy fund page. This will cause each tax levy fund to have an entry in the neighborhood revitalization expenditure cell, increase the total expenditures amount, recompute the ad valorem needed, and populate the new amount to the hearing notice page.  </t>
    </r>
  </si>
  <si>
    <r>
      <t>Note</t>
    </r>
    <r>
      <rPr>
        <sz val="12"/>
        <rFont val="Times New Roman"/>
        <family val="1"/>
      </rPr>
      <t>: If you had already set the ad valorem taxes so that they were equal to or below the Revenue Neutral Rate (RNR), the neighborhood revitalization rebate could cause the ad valorem tax amount to exceed RNR. If this occurs, you have three options:1) accept the rebate expenditures and pass the RNR resolution; 2) accept the rebate expenditures and reduce other expenditures to reduce ad valorem tax dollars below the RNR threshold; or 3) do not use the rebate expenditures by deleting the ad valorem taxes that were keyed into the Neighborhood Revitalization tool.</t>
    </r>
  </si>
  <si>
    <r>
      <t>a.</t>
    </r>
    <r>
      <rPr>
        <sz val="7"/>
        <rFont val="Times New Roman"/>
        <family val="1"/>
      </rPr>
      <t xml:space="preserve">       </t>
    </r>
    <r>
      <rPr>
        <sz val="12"/>
        <rFont val="Times New Roman"/>
        <family val="1"/>
      </rPr>
      <t xml:space="preserve">You are </t>
    </r>
    <r>
      <rPr>
        <i/>
        <sz val="12"/>
        <rFont val="Times New Roman"/>
        <family val="1"/>
      </rPr>
      <t>not</t>
    </r>
    <r>
      <rPr>
        <sz val="12"/>
        <rFont val="Times New Roman"/>
        <family val="1"/>
      </rPr>
      <t xml:space="preserve"> required to use the Neighborhood Revitalization tool. The tool can be used to estimate the amount of the rebate so that you will have an idea of the amount of ad valorem taxes you will not be receiving. If the municipality chooses not to use the tool, another method of estimating the Neighborhood Revitalization rebate impact should be substituted.</t>
    </r>
  </si>
  <si>
    <r>
      <t>b.</t>
    </r>
    <r>
      <rPr>
        <sz val="7"/>
        <rFont val="Times New Roman"/>
        <family val="1"/>
      </rPr>
      <t xml:space="preserve">      </t>
    </r>
    <r>
      <rPr>
        <sz val="12"/>
        <rFont val="Times New Roman"/>
        <family val="1"/>
      </rPr>
      <t xml:space="preserve"> If you do not have Neighborhood Revitalization, you do not need to include this page with the adopted budget submitted to the County Clerk. </t>
    </r>
  </si>
  <si>
    <r>
      <t>13.</t>
    </r>
    <r>
      <rPr>
        <sz val="12"/>
        <rFont val="Times New Roman"/>
        <family val="1"/>
      </rPr>
      <t xml:space="preserve">  Before submission of the budget to the County Clerk, please review the entire document and verify that all amounts are correct.  In addition, the Certificate page needs to be signed by at least one member of the governing body (signatures from the entire governing body are preferred, but not mandatory). </t>
    </r>
  </si>
  <si>
    <r>
      <t>14.</t>
    </r>
    <r>
      <rPr>
        <sz val="12"/>
        <rFont val="Times New Roman"/>
        <family val="1"/>
      </rPr>
      <t xml:space="preserve">  How to Protect and Unprotect a Worksheet: To Unprotect a worksheet, right-click on the tab and select Unprotect Sheet. </t>
    </r>
    <r>
      <rPr>
        <b/>
        <sz val="12"/>
        <color rgb="FFFF0000"/>
        <rFont val="Times New Roman"/>
        <family val="1"/>
      </rPr>
      <t xml:space="preserve">After changes are made you must protect the worksheet. </t>
    </r>
    <r>
      <rPr>
        <sz val="12"/>
        <color rgb="FFFF0000"/>
        <rFont val="Times New Roman"/>
        <family val="1"/>
      </rPr>
      <t xml:space="preserve"> </t>
    </r>
    <r>
      <rPr>
        <sz val="12"/>
        <rFont val="Times New Roman"/>
        <family val="1"/>
      </rPr>
      <t xml:space="preserve">Right click on the tab, select Protect Sheet and hit OK. You do not need to enter a password. Select OK. </t>
    </r>
  </si>
  <si>
    <t>Input Sheet for City TIF Budget Workbook</t>
  </si>
  <si>
    <t>Enter city name ("City of _____"):</t>
  </si>
  <si>
    <t>Enter county name followed by "County":</t>
  </si>
  <si>
    <t>Enter year being budgeted (YYYY):</t>
  </si>
  <si>
    <t xml:space="preserve">Enter the following information from the sources shown.  This information will flow throughout the budget worksheets to the appropriate locations. </t>
  </si>
  <si>
    <r>
      <rPr>
        <sz val="12"/>
        <color indexed="10"/>
        <rFont val="Times New Roman"/>
        <family val="1"/>
      </rPr>
      <t>Note:</t>
    </r>
    <r>
      <rPr>
        <sz val="12"/>
        <rFont val="Times New Roman"/>
        <family val="1"/>
      </rPr>
      <t xml:space="preserve">  the tool below may be used to create a more realistic estimate of ad valorem taxes to be received in the current year.  Input an estimated delinquency percentage in the green box. This </t>
    </r>
    <r>
      <rPr>
        <sz val="12"/>
        <color indexed="10"/>
        <rFont val="Times New Roman"/>
        <family val="1"/>
      </rPr>
      <t>is not mandatory</t>
    </r>
    <r>
      <rPr>
        <sz val="12"/>
        <rFont val="Times New Roman"/>
        <family val="1"/>
      </rPr>
      <t xml:space="preserve"> and may be left blank.            </t>
    </r>
  </si>
  <si>
    <t>Note:  All amounts are to be entered as whole numbers only.</t>
  </si>
  <si>
    <t xml:space="preserve">The input for the following comes directly from </t>
  </si>
  <si>
    <r>
      <rPr>
        <b/>
        <sz val="12"/>
        <color indexed="10"/>
        <rFont val="Times New Roman"/>
        <family val="1"/>
      </rPr>
      <t>*</t>
    </r>
    <r>
      <rPr>
        <b/>
        <sz val="12"/>
        <rFont val="Times New Roman"/>
        <family val="1"/>
      </rPr>
      <t>If amended, then use the amended figures.</t>
    </r>
    <r>
      <rPr>
        <b/>
        <sz val="12"/>
        <color indexed="10"/>
        <rFont val="Times New Roman"/>
        <family val="1"/>
      </rPr>
      <t>*</t>
    </r>
  </si>
  <si>
    <t xml:space="preserve">Amounts used in lieu of </t>
  </si>
  <si>
    <t>%</t>
  </si>
  <si>
    <t>Fund Names:</t>
  </si>
  <si>
    <t>Statute</t>
  </si>
  <si>
    <r>
      <rPr>
        <sz val="12"/>
        <color indexed="10"/>
        <rFont val="Times New Roman"/>
        <family val="1"/>
      </rPr>
      <t>*</t>
    </r>
    <r>
      <rPr>
        <sz val="12"/>
        <rFont val="Times New Roman"/>
        <family val="1"/>
      </rPr>
      <t>Expenditures</t>
    </r>
    <r>
      <rPr>
        <sz val="12"/>
        <color indexed="10"/>
        <rFont val="Times New Roman"/>
        <family val="1"/>
      </rPr>
      <t>*</t>
    </r>
  </si>
  <si>
    <t xml:space="preserve">Ad Valorem Tax </t>
  </si>
  <si>
    <t>General</t>
  </si>
  <si>
    <t>12-101a</t>
  </si>
  <si>
    <t>Debt Service</t>
  </si>
  <si>
    <t>10-113</t>
  </si>
  <si>
    <t>Library</t>
  </si>
  <si>
    <t>12-1220</t>
  </si>
  <si>
    <t>Fund name for all funds with a tax levy:</t>
  </si>
  <si>
    <t>Other (non-tax levy) fund names:</t>
  </si>
  <si>
    <t>Special Highway</t>
  </si>
  <si>
    <t>Single Non Tax Levy:</t>
  </si>
  <si>
    <t>Non-Budgeted (A):</t>
  </si>
  <si>
    <t>Non-Budgeted (B):</t>
  </si>
  <si>
    <t>Non-Budgeted (C):</t>
  </si>
  <si>
    <t>Non-Budgeted (D):</t>
  </si>
  <si>
    <t>Total</t>
  </si>
  <si>
    <t>Outstanding Indebtedness, January 1:</t>
  </si>
  <si>
    <t xml:space="preserve">  G.O. Bonds</t>
  </si>
  <si>
    <t xml:space="preserve">  Revenue Bonds</t>
  </si>
  <si>
    <t xml:space="preserve">  Other</t>
  </si>
  <si>
    <t xml:space="preserve">  Lease Purchase Principal</t>
  </si>
  <si>
    <t>Territory Added: (Current Year Only)</t>
  </si>
  <si>
    <t xml:space="preserve">  Real Estate</t>
  </si>
  <si>
    <t xml:space="preserve">  State Assessed</t>
  </si>
  <si>
    <t xml:space="preserve">  New Improvements</t>
  </si>
  <si>
    <t>Expiration of Property Tax Abatements</t>
  </si>
  <si>
    <t>Neighborhood Revitalization</t>
  </si>
  <si>
    <t>Tax Increment Funding (TIF) - Base Year Assessed Valuation</t>
  </si>
  <si>
    <t>Current Year TIF Assessed Valuation</t>
  </si>
  <si>
    <t>Revenue Neutral Rate</t>
  </si>
  <si>
    <t>Fund</t>
  </si>
  <si>
    <t>Rate</t>
  </si>
  <si>
    <t>Motor Vehicle Tax Estimate</t>
  </si>
  <si>
    <t>Recreational Vehicle Tax Estimate</t>
  </si>
  <si>
    <t>16\20 M Vehicle Tax</t>
  </si>
  <si>
    <t>Commercial Vehicle Tax Estimate</t>
  </si>
  <si>
    <t>Watercraft Tax Estimate</t>
  </si>
  <si>
    <t xml:space="preserve">   </t>
  </si>
  <si>
    <t>Computation of Delinquency</t>
  </si>
  <si>
    <t>Delinquency % used in this budget will be shown on all fund pages with a tax levy**</t>
  </si>
  <si>
    <t>From Municipal Services Website (Budget Workbooks and Tax Estimates)</t>
  </si>
  <si>
    <r>
      <t>**</t>
    </r>
    <r>
      <rPr>
        <b/>
        <u/>
        <sz val="12"/>
        <rFont val="Times New Roman"/>
        <family val="1"/>
      </rPr>
      <t>Note</t>
    </r>
    <r>
      <rPr>
        <sz val="12"/>
        <rFont val="Times New Roman"/>
        <family val="1"/>
      </rPr>
      <t xml:space="preserve">:  Only used when a portion of the County monies are distributed to the Cities under the provisions of                                              </t>
    </r>
  </si>
  <si>
    <t xml:space="preserve">        K.S.A. 79-3425c</t>
  </si>
  <si>
    <t>Funds</t>
  </si>
  <si>
    <t>Budget Authority</t>
  </si>
  <si>
    <t xml:space="preserve">expenditure amounts should reflect the amended </t>
  </si>
  <si>
    <t>expenditure amounts.</t>
  </si>
  <si>
    <t>Public Hearing Input Options</t>
  </si>
  <si>
    <t>Input Examples</t>
  </si>
  <si>
    <r>
      <t xml:space="preserve">This tab will populate the date, time and location of the public hearing on the selected hearing pages, as well as other required information. Please enter the relevant information in the GREEN cells.
Please review the sections below to determine which hearing notice best fits the needs of the taxing subdivision.  Please contact Municipal Services with questions. 
</t>
    </r>
    <r>
      <rPr>
        <b/>
        <sz val="12"/>
        <rFont val="Times New Roman"/>
        <family val="1"/>
      </rPr>
      <t xml:space="preserve">WARNING: Prior to providing newspaper with hearing notice, review all of the information has properly been input and linked to the publication draft. </t>
    </r>
    <r>
      <rPr>
        <sz val="12"/>
        <rFont val="Times New Roman"/>
        <family val="1"/>
      </rPr>
      <t xml:space="preserve">
</t>
    </r>
  </si>
  <si>
    <t>Official Title:</t>
  </si>
  <si>
    <t>City Clerk, City Treasurer, Mayor</t>
  </si>
  <si>
    <t>Date:</t>
  </si>
  <si>
    <t>August 12, 2022</t>
  </si>
  <si>
    <t>Time:</t>
  </si>
  <si>
    <t>7:00 PM or 7:00 AM</t>
  </si>
  <si>
    <t>Location:</t>
  </si>
  <si>
    <t>City Hall</t>
  </si>
  <si>
    <t>Available at:</t>
  </si>
  <si>
    <t>Budget Hearing Notice Only</t>
  </si>
  <si>
    <t>Official Name:</t>
  </si>
  <si>
    <t xml:space="preserve">Taxing subdivisions that do not require a hearing to exceed the revenue neutral rate or will hold/publish the rate hearing separately from the budget hearing, please complete the information in green cells of the "Budget Hearing Notice Only" section. 
You will print the tab "Budget Hearing Notice" and publish this notice in the newspaper at least 10 days prior to the budget hearing. </t>
  </si>
  <si>
    <t xml:space="preserve">Reminder: The notice of hearing must be published at least 10 days prior to hearing date. </t>
  </si>
  <si>
    <t>Budget Available at:</t>
  </si>
  <si>
    <t>Combined Revenue Neutral Rate &amp; Budget Hearing Notice</t>
  </si>
  <si>
    <t xml:space="preserve">Taxing subdivisions that wish to hold a hearing to exceed the revenue neutral rate in conjunction with the regular budget hearing should complete the green cells in the section called "Combined Rate &amp; Budget Hearing Notice". 
You will print the tab called "Combined Rate-Bud Hearing Notice" and publish this notice in the newspaper at least 10 days prior to the hearing date. Addittionally, the taxing subdivision will publish a notice of hearing to exceed the RNR to their website (if maintained).  </t>
  </si>
  <si>
    <t>Hearing to Exceed the Revenue Neutral Rate Notice Only</t>
  </si>
  <si>
    <t xml:space="preserve">If the taxing subdivisin wishes to hold or publish the hearing to exceed the revenue neutral rate separate from the budget hearing, the subdivision may choose the alternate publication "Hearing to Exceed the Revenue Neutral Rate". Note: If using this option, the subdivision MUST also publish the buget hearing notice. </t>
  </si>
  <si>
    <t xml:space="preserve">CPA Summary </t>
  </si>
  <si>
    <t>CERTIFICATE</t>
  </si>
  <si>
    <t>We, the undersigned, officers of</t>
  </si>
  <si>
    <t>certify that: (1) the hearing mentioned in the attached publication was held;</t>
  </si>
  <si>
    <t>(2) after the Budget Hearing this budget was duly approved and adopted as the</t>
  </si>
  <si>
    <t xml:space="preserve"> </t>
  </si>
  <si>
    <t>Final Tax Rate (County Clerk's Use Only)</t>
  </si>
  <si>
    <t>Page</t>
  </si>
  <si>
    <t>Ad Valorem</t>
  </si>
  <si>
    <t>Table of Contents:</t>
  </si>
  <si>
    <t>No.</t>
  </si>
  <si>
    <t>for Expenditures</t>
  </si>
  <si>
    <t>Tax</t>
  </si>
  <si>
    <t>Allocation of MVT, RVT, 16/20M Vehicle Tax</t>
  </si>
  <si>
    <t>Schedule of Transfers</t>
  </si>
  <si>
    <t>Statement of Indebtedness</t>
  </si>
  <si>
    <t>Statement of Lease-Purchases</t>
  </si>
  <si>
    <t>K.S.A.</t>
  </si>
  <si>
    <t>Totals</t>
  </si>
  <si>
    <t>x</t>
  </si>
  <si>
    <t>Budget Hearing Notice</t>
  </si>
  <si>
    <t>County Clerk's Use Only</t>
  </si>
  <si>
    <t>Combined Rate and Budget Hearing Notice</t>
  </si>
  <si>
    <t>RNR Hearing Notice</t>
  </si>
  <si>
    <t>TIF District</t>
  </si>
  <si>
    <t>Assisted by:</t>
  </si>
  <si>
    <t xml:space="preserve">Revenue Neutral Rate  </t>
  </si>
  <si>
    <t>Address:</t>
  </si>
  <si>
    <t>_________________________  _________________________</t>
  </si>
  <si>
    <t>Email:</t>
  </si>
  <si>
    <t>Attest:_____________________,</t>
  </si>
  <si>
    <t>County Clerk</t>
  </si>
  <si>
    <t>Governing Body</t>
  </si>
  <si>
    <t xml:space="preserve">Allocation of MV, RV, 16/20M, Commercial Vehicle, and Watercraft Tax Estimates </t>
  </si>
  <si>
    <t>Budgeted Fund</t>
  </si>
  <si>
    <t xml:space="preserve">Ad Valorem Levy </t>
  </si>
  <si>
    <t>MVT</t>
  </si>
  <si>
    <t>RVT</t>
  </si>
  <si>
    <t>16/20M Veh</t>
  </si>
  <si>
    <t>Comm Veh</t>
  </si>
  <si>
    <t>Watercraft</t>
  </si>
  <si>
    <t>TOTAL</t>
  </si>
  <si>
    <t>County Treas Motor Vehicle Estimate</t>
  </si>
  <si>
    <t>County Treas Recreational Vehicle Estimate</t>
  </si>
  <si>
    <t>County Treas 16/20M Vehicle Estimate</t>
  </si>
  <si>
    <t>County Treas Commercial Vehicle Tax Estimate</t>
  </si>
  <si>
    <t>County Treas Watercraft Tax Estimate</t>
  </si>
  <si>
    <t>Motor Vehicle Factor</t>
  </si>
  <si>
    <t>Recreational Vehicle Factor</t>
  </si>
  <si>
    <t>16/20M Vehicle Factor</t>
  </si>
  <si>
    <t>Commercial Vehicle Factor</t>
  </si>
  <si>
    <t>Watercraft Factor</t>
  </si>
  <si>
    <t>Expenditure</t>
  </si>
  <si>
    <t>Receipt</t>
  </si>
  <si>
    <t>Actual</t>
  </si>
  <si>
    <t>Current</t>
  </si>
  <si>
    <t>Proposed</t>
  </si>
  <si>
    <t>Transfers</t>
  </si>
  <si>
    <t xml:space="preserve">Fund Transferred </t>
  </si>
  <si>
    <t>Fund Transferred</t>
  </si>
  <si>
    <t>Amount for</t>
  </si>
  <si>
    <t>Authorized by</t>
  </si>
  <si>
    <t>From:</t>
  </si>
  <si>
    <t>To:</t>
  </si>
  <si>
    <t xml:space="preserve"> Statute</t>
  </si>
  <si>
    <r>
      <t>Adjustments</t>
    </r>
    <r>
      <rPr>
        <b/>
        <sz val="12"/>
        <color indexed="10"/>
        <rFont val="Times New Roman"/>
        <family val="1"/>
      </rPr>
      <t>*</t>
    </r>
  </si>
  <si>
    <t>Adjusted Totals</t>
  </si>
  <si>
    <t>*Note:</t>
  </si>
  <si>
    <t>STATEMENT OF INDEBTEDNESS</t>
  </si>
  <si>
    <t>Date</t>
  </si>
  <si>
    <t>Interest</t>
  </si>
  <si>
    <t>Beginning Amount</t>
  </si>
  <si>
    <t xml:space="preserve">   Amount Due</t>
  </si>
  <si>
    <t>Type of</t>
  </si>
  <si>
    <t>of</t>
  </si>
  <si>
    <t xml:space="preserve">of </t>
  </si>
  <si>
    <t>Amount</t>
  </si>
  <si>
    <t>Outstanding</t>
  </si>
  <si>
    <t xml:space="preserve">  Date Due</t>
  </si>
  <si>
    <t xml:space="preserve"> Debt</t>
  </si>
  <si>
    <t>Issue</t>
  </si>
  <si>
    <t>Retirement</t>
  </si>
  <si>
    <t>Issued</t>
  </si>
  <si>
    <t>Principal</t>
  </si>
  <si>
    <t>General Obligation:</t>
  </si>
  <si>
    <t>Total G.O. Bonds</t>
  </si>
  <si>
    <t>Revenue Bonds:</t>
  </si>
  <si>
    <t>Total Revenue Bonds</t>
  </si>
  <si>
    <t>Other:</t>
  </si>
  <si>
    <t xml:space="preserve">Total Other </t>
  </si>
  <si>
    <t>Total Indebtedness</t>
  </si>
  <si>
    <t>STATEMENT OF CONDITIONAL LEASE-PURCHASE AND CERTIFICATE OF PARTICIPATION*</t>
  </si>
  <si>
    <t>Term of</t>
  </si>
  <si>
    <t>Payments</t>
  </si>
  <si>
    <t>Items</t>
  </si>
  <si>
    <t xml:space="preserve">  Contract</t>
  </si>
  <si>
    <t>Contract</t>
  </si>
  <si>
    <t>Financed</t>
  </si>
  <si>
    <t>Balance On</t>
  </si>
  <si>
    <t>Due</t>
  </si>
  <si>
    <t xml:space="preserve"> Purchased</t>
  </si>
  <si>
    <t>(Months)</t>
  </si>
  <si>
    <t>(Beginning Principal)</t>
  </si>
  <si>
    <t>***If leasing/renting with no intent to purchase, do not list--such transactions are not lease-purchases.</t>
  </si>
  <si>
    <t>WORKSHEET FOR STATE GRANT-IN-AID TO PUBLIC LIBRARIES AND</t>
  </si>
  <si>
    <t>REGIONAL LIBRARY SYSTEMS</t>
  </si>
  <si>
    <t>Two tests are used to determine eligibility for State Library Grant.  If the grant is approved, then the municipality's library will be paid the grant on February 15 of  each year.</t>
  </si>
  <si>
    <t>First test:</t>
  </si>
  <si>
    <t>Current Year</t>
  </si>
  <si>
    <t>Proposed Year</t>
  </si>
  <si>
    <t>TOTAL TAXES</t>
  </si>
  <si>
    <t>Difference in Total Taxes:</t>
  </si>
  <si>
    <t>Qualify for grant:</t>
  </si>
  <si>
    <t>Second test:</t>
  </si>
  <si>
    <t>Assessed Valuation</t>
  </si>
  <si>
    <t>Did Assessed Valuation Decrease?</t>
  </si>
  <si>
    <t>Levy Rate</t>
  </si>
  <si>
    <t>Difference in Levy Rate:</t>
  </si>
  <si>
    <t>Overall does the municipality qualify for a grant?</t>
  </si>
  <si>
    <t>If the municipality would not have qualified for a grant, please see the below narrative for assistance from the State Library.</t>
  </si>
  <si>
    <t xml:space="preserve">Page No. </t>
  </si>
  <si>
    <t>Proposed Budget Year – Possible Loss of Library State Aid</t>
  </si>
  <si>
    <t xml:space="preserve">Welcome. You have been directed to this section because the amount of revenue from qualifying </t>
  </si>
  <si>
    <t xml:space="preserve">In municipalities supporting a library the municipality must budget as much or more for the </t>
  </si>
  <si>
    <t xml:space="preserve">budget year as received in the current year for its library to be eligible for a state grant-in-aid </t>
  </si>
  <si>
    <t>through the State Library of Kansas.</t>
  </si>
  <si>
    <t>Is this a violation?</t>
  </si>
  <si>
    <t>No. However, it may cost the library valuable supplemental state—and in some cases, regional—</t>
  </si>
  <si>
    <t>revenue.</t>
  </si>
  <si>
    <t>Why did this happen?</t>
  </si>
  <si>
    <r>
      <t xml:space="preserve">To answer this question, review K.S.A. 75-2556 </t>
    </r>
    <r>
      <rPr>
        <i/>
        <sz val="12"/>
        <rFont val="Times New Roman"/>
        <family val="1"/>
      </rPr>
      <t>et seq.</t>
    </r>
    <r>
      <rPr>
        <sz val="12"/>
        <rFont val="Times New Roman"/>
        <family val="1"/>
      </rPr>
      <t xml:space="preserve"> to see how it applies to your library fund. </t>
    </r>
  </si>
  <si>
    <t xml:space="preserve">No public library is eligible for a grant-in-aid if the total amount of current year ad valorem </t>
  </si>
  <si>
    <t xml:space="preserve">property tax, delinquent tax, and MV, recreational vehicle, and 16/20M tax is less than the total </t>
  </si>
  <si>
    <t>amount produced from such sources for the previous year.</t>
  </si>
  <si>
    <t xml:space="preserve">The statute only includes the library fund. If a separate library employee fund exists, it is not </t>
  </si>
  <si>
    <t>included in the calculation.</t>
  </si>
  <si>
    <t xml:space="preserve">Note also that although you are eligible to expend carryover from the previous year, the statute </t>
  </si>
  <si>
    <t>does not include carryover and it is not considered for determination of eligibility.</t>
  </si>
  <si>
    <t>Who determines eligibility?</t>
  </si>
  <si>
    <r>
      <t xml:space="preserve">K.S.A. 75-2556 </t>
    </r>
    <r>
      <rPr>
        <i/>
        <sz val="12"/>
        <rFont val="Times New Roman"/>
        <family val="1"/>
      </rPr>
      <t>et seq.</t>
    </r>
    <r>
      <rPr>
        <sz val="12"/>
        <rFont val="Times New Roman"/>
        <family val="1"/>
      </rPr>
      <t xml:space="preserve"> makes the State Library of Kansas responsible for determining eligibility </t>
    </r>
  </si>
  <si>
    <t>and distribution of library grants-in-aid.</t>
  </si>
  <si>
    <t>Can this issue be corrected at this time?</t>
  </si>
  <si>
    <t>Clerk the library fund can be fixed before the submission of the budget to the County Clerk.</t>
  </si>
  <si>
    <t>What should I do?</t>
  </si>
  <si>
    <t xml:space="preserve">First, review the budget summary page to ensure that the ad valorem tax mill rate for Proposed </t>
  </si>
  <si>
    <t xml:space="preserve">If the mill rate is lower, check to see if the lesser amount is due to a decline in the assessed valuation. </t>
  </si>
  <si>
    <t xml:space="preserve">K.S.A. 75-2556(c) says that if the assessed valuation decreases the library will remain eligible as </t>
  </si>
  <si>
    <t xml:space="preserve">long as the ad valorem tax mill rate has not been reduced below the mill rate imposed for such </t>
  </si>
  <si>
    <t xml:space="preserve">blank. If an amount is budgeted for the Proposed Budget Year it may improve the total to help </t>
  </si>
  <si>
    <t xml:space="preserve">the library’s eligibility as well as provide the library with authority under the cash basis law to </t>
  </si>
  <si>
    <t>spend any delinquent taxes it receives.</t>
  </si>
  <si>
    <t>Further options</t>
  </si>
  <si>
    <t xml:space="preserve">The State Library can continue eligibility if after evaluation of all circumstances it is determined </t>
  </si>
  <si>
    <t>that the maintenance of local tax support for the operations of the library is being met.</t>
  </si>
  <si>
    <t xml:space="preserve">These circumstances might include authorized transfer from the other funds, additional tax funds spent </t>
  </si>
  <si>
    <t xml:space="preserve">for support of the library that do not appear in the library fund, or special circumstances in this </t>
  </si>
  <si>
    <t xml:space="preserve">budget year. The State Library requires a letter of certification from the municipality to continue </t>
  </si>
  <si>
    <t>eligibility. For more information contact the State Library of Kansas at 785.296.3296, or e-mail:</t>
  </si>
  <si>
    <t>Alice.Smith@ks.gov</t>
  </si>
  <si>
    <t>FUND PAGE FOR FUNDS WITH A TAX LEVY</t>
  </si>
  <si>
    <t>Adopted Budget</t>
  </si>
  <si>
    <t xml:space="preserve">Prior Year </t>
  </si>
  <si>
    <t xml:space="preserve">Current Year </t>
  </si>
  <si>
    <t xml:space="preserve">Proposed Budget </t>
  </si>
  <si>
    <t>Unencumbered Cash Balance Jan 1</t>
  </si>
  <si>
    <t>Receipts:</t>
  </si>
  <si>
    <t>Ad Valorem Tax</t>
  </si>
  <si>
    <t>Delinquent Tax</t>
  </si>
  <si>
    <t>Motor Vehicle Tax</t>
  </si>
  <si>
    <t>Recreational Vehicle Tax</t>
  </si>
  <si>
    <t>16/20M Vehicle Tax</t>
  </si>
  <si>
    <t>Commercial Vehicle Tax</t>
  </si>
  <si>
    <t>Watercraft Tax</t>
  </si>
  <si>
    <t>Gross Earning (Intangible) Tax</t>
  </si>
  <si>
    <t>Local Alcoholic Liquor</t>
  </si>
  <si>
    <t>In Lieu of Taxes (IRB)</t>
  </si>
  <si>
    <t>Interest on Idle Funds</t>
  </si>
  <si>
    <t>Neighborhood Revitalization Rebate</t>
  </si>
  <si>
    <t>Miscellaneous</t>
  </si>
  <si>
    <t>Does miscellaneous exceed 10% of Total Rec</t>
  </si>
  <si>
    <t>Total Receipts</t>
  </si>
  <si>
    <t>Resources Available:</t>
  </si>
  <si>
    <t>FUND PAGE - GENERAL</t>
  </si>
  <si>
    <t>Expenditures:</t>
  </si>
  <si>
    <r>
      <t xml:space="preserve"> Subtotal detail (</t>
    </r>
    <r>
      <rPr>
        <sz val="12"/>
        <color indexed="10"/>
        <rFont val="Times New Roman"/>
        <family val="1"/>
      </rPr>
      <t>S</t>
    </r>
    <r>
      <rPr>
        <sz val="12"/>
        <color indexed="10"/>
        <rFont val="Times New Roman"/>
        <family val="1"/>
      </rPr>
      <t>hould agree with detail</t>
    </r>
    <r>
      <rPr>
        <sz val="12"/>
        <rFont val="Times New Roman"/>
        <family val="1"/>
      </rPr>
      <t>)</t>
    </r>
  </si>
  <si>
    <t>Desired Carryover Amount:</t>
  </si>
  <si>
    <t>Estimated Mill Rate Impact:</t>
  </si>
  <si>
    <t>Expenditures Must Be Changed By:</t>
  </si>
  <si>
    <t>Estimated Mill Rate &amp;
 Revenue Neutral Rate Comparison</t>
  </si>
  <si>
    <t>Does miscellaneous exceed 10% of Total Exp</t>
  </si>
  <si>
    <t>Revenue Neutral Rate (KSA 79-2988)</t>
  </si>
  <si>
    <t>Total Expenditures</t>
  </si>
  <si>
    <t>Unencumbered Cash Balance Dec 31</t>
  </si>
  <si>
    <t>Non-Appropriated Balance</t>
  </si>
  <si>
    <t>Is a rate hearing/resolution required:</t>
  </si>
  <si>
    <t>Total Expenditure/Non-Appr Balance</t>
  </si>
  <si>
    <t>Tax Required</t>
  </si>
  <si>
    <t>Delinquent Comp Rate:</t>
  </si>
  <si>
    <t xml:space="preserve">           General Fund - Detail Expend</t>
  </si>
  <si>
    <t xml:space="preserve">  Salaries</t>
  </si>
  <si>
    <t xml:space="preserve">  Contractual</t>
  </si>
  <si>
    <t xml:space="preserve">  Commodities</t>
  </si>
  <si>
    <t xml:space="preserve">  Capital Outlay</t>
  </si>
  <si>
    <t>Page Total</t>
  </si>
  <si>
    <t>Page No.</t>
  </si>
  <si>
    <t xml:space="preserve">           General Fund - Detail Page 2</t>
  </si>
  <si>
    <t>Page 2 -Total</t>
  </si>
  <si>
    <t>Page 1 -Total</t>
  </si>
  <si>
    <t xml:space="preserve">Grand Total </t>
  </si>
  <si>
    <t>(Note: Should agree with general sub-totals.)</t>
  </si>
  <si>
    <t>Expenditures Must Be Changed by:</t>
  </si>
  <si>
    <t>Does miscellaneous exceed 10% of Total Expenditure</t>
  </si>
  <si>
    <t>FUND PAGE FOR FUNDS WITH NO TAX LEVY</t>
  </si>
  <si>
    <t>State of Kansas Gas Tax</t>
  </si>
  <si>
    <t>County Transfers Gas</t>
  </si>
  <si>
    <t>NON-BUDGETED FUNDS (A)</t>
  </si>
  <si>
    <t>Non-Budgeted Funds-A</t>
  </si>
  <si>
    <t>(1) Fund Name:</t>
  </si>
  <si>
    <t>(2) Fund Name:</t>
  </si>
  <si>
    <t>(3) Fund Name:</t>
  </si>
  <si>
    <t>(4) Fund Name:</t>
  </si>
  <si>
    <t>(5) Fund Name:</t>
  </si>
  <si>
    <t xml:space="preserve">Unencumbered </t>
  </si>
  <si>
    <t>Cash Balance Jan 1</t>
  </si>
  <si>
    <t>Cash Balance Dec 31</t>
  </si>
  <si>
    <t>**</t>
  </si>
  <si>
    <t>**Note: These two block figures should agree.</t>
  </si>
  <si>
    <t>CPA Summary</t>
  </si>
  <si>
    <t>NON-BUDGETED FUNDS (B)</t>
  </si>
  <si>
    <t>Non-Budgeted Funds-B</t>
  </si>
  <si>
    <t>NON-BUDGETED FUNDS (C)</t>
  </si>
  <si>
    <t>Non-Budgeted Funds-C</t>
  </si>
  <si>
    <t>NON-BUDGETED FUNDS (D)</t>
  </si>
  <si>
    <t>Non-Budgeted Funds-D</t>
  </si>
  <si>
    <t>**Note: The two bold yellow figures should agree.</t>
  </si>
  <si>
    <t xml:space="preserve">The governing body of </t>
  </si>
  <si>
    <t>BUDGET SUMMARY</t>
  </si>
  <si>
    <t>Estimated Tax Rate is subject to change depending on the final assessed valuation.</t>
  </si>
  <si>
    <t>Proposed Estimated Tax Rate*</t>
  </si>
  <si>
    <t xml:space="preserve">     FUND</t>
  </si>
  <si>
    <t xml:space="preserve"> Expenditures</t>
  </si>
  <si>
    <t>Tax Rate *</t>
  </si>
  <si>
    <t>The estimated value of one mill would be:</t>
  </si>
  <si>
    <t>Tax Levy Fund Expenditures Must Be Either</t>
  </si>
  <si>
    <t>Revenue Neutral Rate**</t>
  </si>
  <si>
    <t>Less: Transfers</t>
  </si>
  <si>
    <t>Change in Ad Valorem Tax Revenue:</t>
  </si>
  <si>
    <t>Net Expenditure</t>
  </si>
  <si>
    <t>Total Tax Levied</t>
  </si>
  <si>
    <t>What Mill Rate Would Be Desired?</t>
  </si>
  <si>
    <t xml:space="preserve">Assessed </t>
  </si>
  <si>
    <t>Valuation</t>
  </si>
  <si>
    <t>Outstanding Indebtedness,</t>
  </si>
  <si>
    <t xml:space="preserve">  January 1,</t>
  </si>
  <si>
    <t>G.O. Bonds</t>
  </si>
  <si>
    <t>Revenue Bonds</t>
  </si>
  <si>
    <t xml:space="preserve">Is rate hearing/resolution required to exceed Revenue Neutral Rate? </t>
  </si>
  <si>
    <t>Other</t>
  </si>
  <si>
    <t>Lease Purchase Principal</t>
  </si>
  <si>
    <t xml:space="preserve">     Total</t>
  </si>
  <si>
    <t xml:space="preserve">  *Tax rates are expressed in mills</t>
  </si>
  <si>
    <r>
      <t>**</t>
    </r>
    <r>
      <rPr>
        <i/>
        <sz val="12"/>
        <rFont val="Times New Roman"/>
        <family val="1"/>
      </rPr>
      <t>Revenue Neutral Rate as defined by KSA 79-2988</t>
    </r>
  </si>
  <si>
    <t>NOTICE OF HEARING TO EXCEED REVENUE NEUTRAL RATE AND BUDGET HEARING</t>
  </si>
  <si>
    <t xml:space="preserve">answering objections of taxpayers relating to the proposed use of all funds, the amount of ad valorem tax and the Revenue Neutral Rate. </t>
  </si>
  <si>
    <t>Roll Call Vote</t>
  </si>
  <si>
    <t>Governing Body Member</t>
  </si>
  <si>
    <t>Yes</t>
  </si>
  <si>
    <t>No</t>
  </si>
  <si>
    <t>No Vote</t>
  </si>
  <si>
    <t xml:space="preserve">Certified: </t>
  </si>
  <si>
    <t>Municipal Budget Tools/Explainers for Various Situations</t>
  </si>
  <si>
    <r>
      <t xml:space="preserve">• </t>
    </r>
    <r>
      <rPr>
        <sz val="12"/>
        <color rgb="FF000000"/>
        <rFont val="Calibri"/>
        <family val="2"/>
      </rPr>
      <t>RNR – Rate calculated to compare prior year ad valorem tax to current year estimates</t>
    </r>
  </si>
  <si>
    <r>
      <t xml:space="preserve">• </t>
    </r>
    <r>
      <rPr>
        <sz val="12"/>
        <color rgb="FF000000"/>
        <rFont val="Calibri"/>
        <family val="2"/>
      </rPr>
      <t xml:space="preserve">RNR = (Prior year ad valorem revenue/current year valuation estimate)  X 1,000 </t>
    </r>
  </si>
  <si>
    <t>Note: Revenue used is the final billed tax revenue</t>
  </si>
  <si>
    <t xml:space="preserve">Example: </t>
  </si>
  <si>
    <r>
      <t>RNR = (</t>
    </r>
    <r>
      <rPr>
        <b/>
        <sz val="12"/>
        <color rgb="FFFF0000"/>
        <rFont val="Calibri"/>
        <family val="2"/>
      </rPr>
      <t>A</t>
    </r>
    <r>
      <rPr>
        <sz val="12"/>
        <rFont val="Calibri"/>
        <family val="2"/>
      </rPr>
      <t xml:space="preserve"> $80,773/</t>
    </r>
    <r>
      <rPr>
        <b/>
        <sz val="12"/>
        <color rgb="FFFF0000"/>
        <rFont val="Calibri"/>
        <family val="2"/>
      </rPr>
      <t>B</t>
    </r>
    <r>
      <rPr>
        <sz val="12"/>
        <rFont val="Calibri"/>
        <family val="2"/>
      </rPr>
      <t xml:space="preserve"> 1,323,770) X 1,000  =  </t>
    </r>
    <r>
      <rPr>
        <b/>
        <sz val="12"/>
        <color rgb="FFFF0000"/>
        <rFont val="Calibri"/>
        <family val="2"/>
      </rPr>
      <t>C</t>
    </r>
    <r>
      <rPr>
        <sz val="12"/>
        <rFont val="Calibri"/>
        <family val="2"/>
      </rPr>
      <t xml:space="preserve"> 61.017</t>
    </r>
  </si>
  <si>
    <r>
      <t xml:space="preserve">Prior year mill levy rate was </t>
    </r>
    <r>
      <rPr>
        <b/>
        <sz val="12"/>
        <color rgb="FFFF0000"/>
        <rFont val="Calibri"/>
        <family val="2"/>
      </rPr>
      <t>D</t>
    </r>
    <r>
      <rPr>
        <sz val="12"/>
        <rFont val="Calibri"/>
        <family val="2"/>
      </rPr>
      <t xml:space="preserve"> 66.44</t>
    </r>
  </si>
  <si>
    <t>Prior Year Ad Valorem Revenue</t>
  </si>
  <si>
    <r>
      <rPr>
        <b/>
        <sz val="12"/>
        <color rgb="FFFF0000"/>
        <rFont val="Calibri"/>
        <family val="2"/>
      </rPr>
      <t>A</t>
    </r>
    <r>
      <rPr>
        <sz val="12"/>
        <rFont val="Calibri"/>
        <family val="2"/>
      </rPr>
      <t xml:space="preserve"> The prior year ad valorem revenue comes from the 2023 budget certificate page.  </t>
    </r>
  </si>
  <si>
    <t xml:space="preserve">It is the total for the Amount of 2022 Ad Valorem Tax column. </t>
  </si>
  <si>
    <t xml:space="preserve">The 2022 Ad Valorem Tax by fund is keyed in the 2022 Ad Valorem Tax column in the 2024 budget </t>
  </si>
  <si>
    <t>workbook inputPrYr tab.</t>
  </si>
  <si>
    <t>Current Year Valuation Estimate</t>
  </si>
  <si>
    <r>
      <rPr>
        <b/>
        <sz val="12"/>
        <color rgb="FFFF0000"/>
        <rFont val="Calibri"/>
        <family val="2"/>
      </rPr>
      <t>B</t>
    </r>
    <r>
      <rPr>
        <sz val="12"/>
        <rFont val="Calibri"/>
        <family val="2"/>
      </rPr>
      <t xml:space="preserve"> The current year valuation estimate comes from the County Clerk's Budget Information for </t>
    </r>
  </si>
  <si>
    <t xml:space="preserve">the the 2024 Budget received from the county clerk in June. </t>
  </si>
  <si>
    <t xml:space="preserve">The information from the County Clerk's Budget Information for the 2024 Budget is keyed in the </t>
  </si>
  <si>
    <t>2024 budget workbook inputOth tab.</t>
  </si>
  <si>
    <r>
      <t xml:space="preserve">C </t>
    </r>
    <r>
      <rPr>
        <sz val="12"/>
        <color theme="1"/>
        <rFont val="Calibri"/>
        <family val="2"/>
      </rPr>
      <t>The revenue neutral rate is calculated by the county clerk and provided to each taxing subdivision in the county by June 15th.</t>
    </r>
  </si>
  <si>
    <t>Prior Year RNR/Mill Levy Rate</t>
  </si>
  <si>
    <r>
      <t xml:space="preserve">D </t>
    </r>
    <r>
      <rPr>
        <sz val="12"/>
        <color theme="1"/>
        <rFont val="Calibri"/>
        <family val="2"/>
      </rPr>
      <t xml:space="preserve">The sum of the actual tax rates </t>
    </r>
  </si>
  <si>
    <t>How to Compute the Value of One Mill, and the Impact of Tax Dollars and Assessed Valuation on Mill Rates</t>
  </si>
  <si>
    <t>Helpful Links</t>
  </si>
  <si>
    <t>Municipal Services (Kansas Department of Administration, Accounts and Reports) – Budget forms, confirmation of payments, transfer statutes, non-budgeted fund statutes, etc.</t>
  </si>
  <si>
    <t>https://admin.ks.gov/offices/accounts-reports/local-government/municipal-services</t>
  </si>
  <si>
    <t>State Debt Setoff Program (Kansas Department of Administration, Accounts and Reports) – Passive collection tool to assist municipalities with collection of unpaid utility bills, etc.</t>
  </si>
  <si>
    <t>https://admin.ks.gov/offices/accounts-reports/state-agencies/finance/setoff-program</t>
  </si>
  <si>
    <t>League of Kansas Municipalities</t>
  </si>
  <si>
    <t>https://www.lkm.org/</t>
  </si>
  <si>
    <t>Kansas Legislature – Kansas Statutes (usually updated in January), House and Senate Bills, etc.</t>
  </si>
  <si>
    <t>http://www.kslegislature.org/li/</t>
  </si>
  <si>
    <t>Kansas Attorney General Opinions</t>
  </si>
  <si>
    <t>https://ag.ks.gov/media-center/ag-opinions</t>
  </si>
  <si>
    <t>Kansas State Treasurer</t>
  </si>
  <si>
    <t>https://www.kansasstatetreasurer.com/fin_serv.html</t>
  </si>
  <si>
    <t>Kansas Department of Revenue</t>
  </si>
  <si>
    <t>https://www.ksrevenue.gov/</t>
  </si>
  <si>
    <t>Kansas Department of Revenue – Property Valuation</t>
  </si>
  <si>
    <t>https://www.ksrevenue.gov/pvdindex.html</t>
  </si>
  <si>
    <t>Kansas Pooled Money Investment Board – Investment of Idle Funds in the Municipal Investment Pool</t>
  </si>
  <si>
    <t>https://pooledmoneyinvestmentboard.com/</t>
  </si>
  <si>
    <t>The following changes were made to this workbook during April 2023</t>
  </si>
  <si>
    <t xml:space="preserve">1. Made final Nov 1, 2023 assessed valuation fillable and added final rate formula by fund on the Certificate page. </t>
  </si>
  <si>
    <t>2. Added 'SAMPLE Roll Call to Exceed RNR' tab.</t>
  </si>
  <si>
    <t>3. Combined 'Mill Rate Computation' tab and 'Helpful Links' tab into new tab labeled 'Budget Tools.'</t>
  </si>
  <si>
    <t>4. Added explanation of how the Revenue Neutral Rate is calculated to 'Budget Tools' tab.</t>
  </si>
  <si>
    <t>5. Updated spacing and formatting to Tab A, Tab B, Tab C, Tab D and Tab E.</t>
  </si>
  <si>
    <t>The following changes were made to this workbook during February 2022</t>
  </si>
  <si>
    <t xml:space="preserve">1. Budget instructions were updated. </t>
  </si>
  <si>
    <t>2. Basic and consistent formatting throughout (including updating fonts, consistent language and print areas)</t>
  </si>
  <si>
    <t>3. Removed (by hiding rows - data is still present in background) new improvements, personal property, terrotory added, changed use, and expiration of tax abatements on "Input Oth" tab</t>
  </si>
  <si>
    <t>4. Updated budget hearing input tab to include inputs for combined hearing notice and rate only notice. Retitled tab "InputBudHearing"</t>
  </si>
  <si>
    <t>5. Updated Budget Hearing Tab formating and consistency</t>
  </si>
  <si>
    <t xml:space="preserve">6. Added alternate Combined Rate and Budget Hearing notice tab for subdivisions that will publish and hold the RNR rate and budget hearing in conjunction with eachother. </t>
  </si>
  <si>
    <t>7. Added RNR Hearing Notice for an optional publication for the RNR hearing only</t>
  </si>
  <si>
    <t xml:space="preserve">8. Added sample resolution to exceed RNR and sample notice to county clerk to report intention to exceed RNR. </t>
  </si>
  <si>
    <t xml:space="preserve">9. Updated helpful links to provide accurate weblinks. </t>
  </si>
  <si>
    <t>10. Added RNR to Certificate Page</t>
  </si>
  <si>
    <t>The following changes were made to this workbook during April 2021</t>
  </si>
  <si>
    <t>1. CPI was removed (2021 SB 13)</t>
  </si>
  <si>
    <t>2. Computed Limit/Tax Lid references and tabs were removed throughout workbook (2021 SB 13)</t>
  </si>
  <si>
    <t>3. Budget Summary Page was updated to include Revenue Neutral Rate (2021 SB 13)</t>
  </si>
  <si>
    <t xml:space="preserve">4. Instructions were adjusted to reflect changes from 2021 SB 13. </t>
  </si>
  <si>
    <t>5. Updated certificate/table of contents and page numbering for changes</t>
  </si>
  <si>
    <t>The following changes were made to this workbook during March 2020</t>
  </si>
  <si>
    <t>1. CPI Percentages were entered for the 2021 budget year</t>
  </si>
  <si>
    <t xml:space="preserve">2. Combined percentage/revenue adjustment computation for tax lid into "Comp1", added "If/then" statement at bottom of comp tab to direct users on following steps. </t>
  </si>
  <si>
    <t>3. Comp2 is now the other limit determination tests (Property Decline and Lost Valuation)</t>
  </si>
  <si>
    <t>4. Updated the Helpful Links to correct weblinks</t>
  </si>
  <si>
    <t>5. Used format painter to make all pages consistent in color and layout</t>
  </si>
  <si>
    <t>The following changes were made to this workbook during April 2019</t>
  </si>
  <si>
    <t>1.  Updated Municipal Services' contact information on the Instruction tab</t>
  </si>
  <si>
    <t xml:space="preserve">2.  Entered 2020 for the budget year and the applicable CPI percentages on the InputPrYr tab </t>
  </si>
  <si>
    <t>3.  Highlighted tab (pages) in blue if the page is to be printed and submitted as part of the budget</t>
  </si>
  <si>
    <t>4.  Added Remodeling and Rennovation to the New Improvements line on the InputOther tab</t>
  </si>
  <si>
    <t>5.  Added Remodeling and Rennovation to the New Improvements line on the Comp1 tab</t>
  </si>
  <si>
    <t>6.  Added Levy for Dissolved Taxing Entity on the Comp3 tab</t>
  </si>
  <si>
    <t>The following changes were made to this workbook during April 2018</t>
  </si>
  <si>
    <t>1.  Added CPA Summary Tab</t>
  </si>
  <si>
    <t xml:space="preserve">2.  Added CPA Summary Box to Certification Page and all Fund Pages </t>
  </si>
  <si>
    <t xml:space="preserve">3. Added CPI Percentages on Input Prior Year Tab </t>
  </si>
  <si>
    <t>4. Added Computed Tax Levy Amount on Certification Page and Edit if Election is Required</t>
  </si>
  <si>
    <t>5.  Removed Computation Tab and Inserted Comp1, Comp2, and Comp3 Tabs and Inserted Various Links</t>
  </si>
  <si>
    <t>6.  Changed Megan Schulz email address on Library Grant Tab</t>
  </si>
  <si>
    <t xml:space="preserve">7.  Removed Public Notice Options Tabs 1, 2, and 3 </t>
  </si>
  <si>
    <t xml:space="preserve">8.  Removed Resolution Tab   </t>
  </si>
  <si>
    <t>The following changes were made to this workbook on 4/7/2017</t>
  </si>
  <si>
    <t xml:space="preserve">1.  Update the Instruction tab with Rico's name and telephone number.  Updated ARMUNIS address.  </t>
  </si>
  <si>
    <t xml:space="preserve">2.  Disabled the Computation tab - Counties and Cities will need to use the HB 2088 Template for the 2018 budgets.  </t>
  </si>
  <si>
    <t>The following changes were made to this workbook on 1/27/2016</t>
  </si>
  <si>
    <t>1.  Inserted 2015 CPI percentage on computation tab.</t>
  </si>
  <si>
    <t>The following changes were made to this workbook on 8/28/2015</t>
  </si>
  <si>
    <t>1.  Added edits related to adoption of a resolution</t>
  </si>
  <si>
    <t>2.  Added a sample resolution tab</t>
  </si>
  <si>
    <t>3.  Added a third notice of vote option</t>
  </si>
  <si>
    <t>4.  Added to each fund a "cash forward" expenditure line item</t>
  </si>
  <si>
    <t>5.  Added a total tax levy comparison tool adjacent to each tax levy fund</t>
  </si>
  <si>
    <t>6.  On tax levy funds NR estimate shown as a negative receipt</t>
  </si>
  <si>
    <t>The following changes were made to this workbook on 1/21/15</t>
  </si>
  <si>
    <t>1.  Inserted 2014 CPI percentage on computation tab.</t>
  </si>
  <si>
    <t>2.  Corrected formula in cell d24 of library grant tab.</t>
  </si>
  <si>
    <t>The following changes were made to this workbook on 9/22/14</t>
  </si>
  <si>
    <t>1.  Various workbook changes associated with commercial vehicle and watercraft tax estimates.</t>
  </si>
  <si>
    <t>The following changes were made to this workbook on 9/16/14</t>
  </si>
  <si>
    <t>1.  Corrected the print margins of the general fund tab.</t>
  </si>
  <si>
    <t>The following changes were made to this workbook on 8/4/14</t>
  </si>
  <si>
    <t>1.  Update of State Library contact name on library grant tab.</t>
  </si>
  <si>
    <t>The following changes were made to this workbook on 7/9/14</t>
  </si>
  <si>
    <t>1.  Correction to formula in cell j44 of the computation tab worksheet.</t>
  </si>
  <si>
    <t>The following changes were made to this workbook on 5/7/14</t>
  </si>
  <si>
    <t>1.  Several changes to workbook associated with 2014 HB 2047.</t>
  </si>
  <si>
    <t>The following changes were made to this workbook on 4/2/14</t>
  </si>
  <si>
    <t>1.  "Budget Authority Amount" cell added to budget year column of all funds.</t>
  </si>
  <si>
    <t>The following changes were made to this workbook on 1/13/14</t>
  </si>
  <si>
    <t>1.  Corrected formulas for column totals on general fund detail page.</t>
  </si>
  <si>
    <t>The following changes were made to this workbook on 3/21/13</t>
  </si>
  <si>
    <t>1.  Instruction tab narrative modification</t>
  </si>
  <si>
    <t>The following changes were made to this workbook on 1/31/13</t>
  </si>
  <si>
    <t>1.  Corrected formula in cell e28 of Library Grant tab</t>
  </si>
  <si>
    <t>The following changes were made to this workbook on 10/8/12</t>
  </si>
  <si>
    <t>1.  Added "ordinance required?  yes/no" message to area adjacent to each tax levy fund</t>
  </si>
  <si>
    <t>The following changes were made to this workbook on 4/10/12</t>
  </si>
  <si>
    <t>1. Corrected addition computation in column D, inputPrYr tab</t>
  </si>
  <si>
    <t>The following changes were made to this workbook on 3/22/12</t>
  </si>
  <si>
    <t>1. Concantenate at line 9 of the Certificate page changed to reference cell F1</t>
  </si>
  <si>
    <t>2. Corrected misspelling of word "limitations" on line 9 of the Certificate page.</t>
  </si>
  <si>
    <t>The following changes were made to this workbook on 2/22/12</t>
  </si>
  <si>
    <t>1. Library Grant tab, updated State Library e-mail contact address</t>
  </si>
  <si>
    <t>The following changes were made to this workbook on 8/16/11</t>
  </si>
  <si>
    <t>1. Instructions tab, added #1c for adjusting ad valorem taxes</t>
  </si>
  <si>
    <t>2. Instructions tab, changed #3 for adding name of official for Budget Summary page</t>
  </si>
  <si>
    <t>3. Instructions tab, added #3b for new max published date on 'inputBudSum' tab</t>
  </si>
  <si>
    <t>4. Instructions tab, changed #6 to remove slider column and computations</t>
  </si>
  <si>
    <t>5. Instructions tab, added #10 for explain about 'Library Grant' tab and Library fund page</t>
  </si>
  <si>
    <t>6. Instructions tab, changed #11 now Debt Service and Library funds are on the same tab (hard coded Cert &amp; Summary</t>
  </si>
  <si>
    <t>7. Instructions tab, added #11a for numbering of the General and General Detail pages</t>
  </si>
  <si>
    <t>8. Instructions tab, changed #11b to reflect all tax levy pages with 'Projected Carryover' table</t>
  </si>
  <si>
    <t>9. Instructions tab, changed #11c to reflect all tax levy pages with 'Desired Carryover' and warning about delinquency rate</t>
  </si>
  <si>
    <t>10. Instructions tab, added #11d for last year mill rate, proposed total mill rate, and last year total mill rate</t>
  </si>
  <si>
    <t>11. Instructions tab, changed #11e to remove page number 7 as the General page number might change if Library is used</t>
  </si>
  <si>
    <t>12. Instructions tab, changed #12b added name of official</t>
  </si>
  <si>
    <t>13. Instructions tab, added #12c for computation of one mill</t>
  </si>
  <si>
    <t>14. Instructions tab, changed #12d added the name of the tables and warning about delinquency rate if used</t>
  </si>
  <si>
    <t>15. Instructions tab, changed #12e added the name of the table and warning about delinquency rate if used</t>
  </si>
  <si>
    <t>16. Instructions tab, changed #12f added that not signing the Budget Summary page will not require to be reprinted</t>
  </si>
  <si>
    <t xml:space="preserve">17. InputPrYr tab, added column for adjusting ad valorem taxes to reflect a better picture of actual taxes received, allow a rate to be used to compute the new amount, and links the new amounts to the appropriate fund page, if used, otherwise used the original amounts </t>
  </si>
  <si>
    <t>18. InputPrYr tab, hard coded Library in the tax levy funds section along with General and Debt Service</t>
  </si>
  <si>
    <t>19. InputOth tab, section for Computation of Delinquency, change to % from rate and provided example, link to all tax levy fund page will show as %  vs rate</t>
  </si>
  <si>
    <t>20. InputBudSum tab, added official name and latest date for publication of Notice of Budget Hearing</t>
  </si>
  <si>
    <t xml:space="preserve">21. Cert tab, under Table of Content, added Computation to Determine State Library Grant </t>
  </si>
  <si>
    <t>22. Cert tab, right justifyed figures versus having figures centered</t>
  </si>
  <si>
    <t>23. Cert tab, put spaces between governing body signatures block</t>
  </si>
  <si>
    <t>24. Mvalloc tab, removed slider column and computation for slider</t>
  </si>
  <si>
    <t>25. All tax levy fund pages removed the link from Mvalloc tab for slider and converted cells to blank</t>
  </si>
  <si>
    <t xml:space="preserve">26. Debt and Lpform tab added a blank new column at left side and formated 'type of debt' and 'item purchased'  </t>
  </si>
  <si>
    <t>27. All fund pages changed the year column heading, example 'Prior Year Actual' to 'Prior Year' second line 'Actual YYYY'</t>
  </si>
  <si>
    <t xml:space="preserve">28. Change out the 'Mill Rate Computation' tab so to agree with the website </t>
  </si>
  <si>
    <t>29. Added KSA 14-568 to transfer tab</t>
  </si>
  <si>
    <t>30. All tax levy fund pages added 'Mill Rate Comparison' table</t>
  </si>
  <si>
    <t>31. Created new Library Grant tab for determining if the library would be approved for a grant</t>
  </si>
  <si>
    <t>32. Change Debt Svs tab to DebtSvs-Library</t>
  </si>
  <si>
    <t>33. DebtSvs-Library tab, for Library fund page added message for qualify for grant or see Library Grant tab</t>
  </si>
  <si>
    <t>34. Certificate tab added a place for the email address of the assisted by</t>
  </si>
  <si>
    <t>35. General tab, link page number with detail page number to show 7 without a library fund or 8 with a library fund</t>
  </si>
  <si>
    <t>The following changes were made to this workbook on 6/30/11</t>
  </si>
  <si>
    <t>1. Certificate page: supplied link to input prior year tab to pull statutory reference for tax levy fund (cell B23 on certificate page)</t>
  </si>
  <si>
    <t>The following changes were made to this workbook on 6/17/11</t>
  </si>
  <si>
    <t>1. Debt Service fund page: total receipts formula changed to eliminate reference to unencumbered cash (cell C6)</t>
  </si>
  <si>
    <t>2. Summary page: corrected cell reference in current year expenditures, cell D26</t>
  </si>
  <si>
    <t>The following changes were made to this workbook on 5/26/11</t>
  </si>
  <si>
    <t>1. Tabs level page 9 and 10 cell D32 formatting change reference C34 to D34 and cell D69 reference from C71 to D71</t>
  </si>
  <si>
    <t>The following changes were made to this workbook on 5/6/11</t>
  </si>
  <si>
    <t>1. Summary tab correct cells J28, J29, M28, and M29 as wrong cell reference and formula error</t>
  </si>
  <si>
    <t>The following changes were made to this workbook on 4/19/11</t>
  </si>
  <si>
    <t>1. Summ tab changed proposed year expenditure column to 'Budget Authority for Expenditures'</t>
  </si>
  <si>
    <t>2. Mvalloc/slider column cell corrections.</t>
  </si>
  <si>
    <t>The following changes were made to this workbook on 3/16/11</t>
  </si>
  <si>
    <t>1. DebtService tab corrected cell E20 total computation</t>
  </si>
  <si>
    <t>2. Mvalloc tab corrected table link with InputPrYr ad valorem taxes</t>
  </si>
  <si>
    <t>3. Debt Service tab corrected cell G34 from E21 to E20</t>
  </si>
  <si>
    <t>The following changes were made to this workbook on 8/20/10</t>
  </si>
  <si>
    <t>1. All pages removed the revision date</t>
  </si>
  <si>
    <t>2. All tax levy fund pages reduced the columns and revised the bottom of pages for see tabs</t>
  </si>
  <si>
    <t>3. Instruction tab added lines 11c (last year mill rate), 11d (desired mill rate), 10a(project carryover), 10b (Desired Carryover), 10g (project carryover Debt/road, and 14 (protection)</t>
  </si>
  <si>
    <t>4. Certificate tab change the 'Expenditure' heading by adding  'Budget Authority for Expenditures'</t>
  </si>
  <si>
    <t xml:space="preserve">5. Certificate tab added additional lines for the governing body signatures </t>
  </si>
  <si>
    <t>6. Certificate tab add the year in the block for 'County Clerk Use Only'</t>
  </si>
  <si>
    <t>7. Certificate tab moved the 'County Clerk's Use Only' from center to right</t>
  </si>
  <si>
    <t>8. Debt tab expand the 'Date' columns and removed two lines from the 'Other Section'</t>
  </si>
  <si>
    <t>9. Gen tab added revenue line for 'Compensation Use'</t>
  </si>
  <si>
    <t>10. Gen tab added table for 'Projection of Cash Carryover'</t>
  </si>
  <si>
    <t>11. Gen tab added table for 'Desired Carryover'</t>
  </si>
  <si>
    <t>12. Gen tab redefine print que to not include tables</t>
  </si>
  <si>
    <t>13. Gen tab hid the comp for see tabs</t>
  </si>
  <si>
    <t>14. DebtService tab reduced the Debt Service fund page and added a fund</t>
  </si>
  <si>
    <t>15. DebtService tab added table for 'Projected Carryover'</t>
  </si>
  <si>
    <t>16. DebtService tab redefine print que and hid comp for see tabs</t>
  </si>
  <si>
    <t>17. Levy page9 and page10 tab hid comp for see tabs</t>
  </si>
  <si>
    <t>18. Summ tab merged cells above the 'City Official Title' and center a name if used</t>
  </si>
  <si>
    <t>19. Summ tab link the City Official Title to inputBudSum tab</t>
  </si>
  <si>
    <t>20. Summ tab changed proposed year expenditure column to 'Budget Authority (Includes Carryover)</t>
  </si>
  <si>
    <t>21. Summ tab added four tables to the right of the form</t>
  </si>
  <si>
    <t>22. InputBudSum tab added line for City Official Title and provided an example</t>
  </si>
  <si>
    <t>23. Revised TransferStatutes and NonBudFunds tabs</t>
  </si>
  <si>
    <t>24. Added Mill Rate Computation tab</t>
  </si>
  <si>
    <t>25. Summ tab redefine print que</t>
  </si>
  <si>
    <t>26. Add Helpful Links tab</t>
  </si>
  <si>
    <t>27. Certificate page deleted state block</t>
  </si>
  <si>
    <t>28. Inputoth tab changed Actual Delinquency tax from -2 to -3</t>
  </si>
  <si>
    <t>The following changes were made to this workbook on 1/05/10</t>
  </si>
  <si>
    <t>1. Instruction tab added line 7b concerning schedule of transfers adjustments</t>
  </si>
  <si>
    <t>2. Transfers tab changed note so to identify current and proposed columns for non-budgeted funds transfers</t>
  </si>
  <si>
    <t>3. Transfers tab changed first two column heading adding 'expenditures' and 'receipts'</t>
  </si>
  <si>
    <t>The following changes were made to this workbook on 12/28/09</t>
  </si>
  <si>
    <t>1. Nhood tab added note for computing table</t>
  </si>
  <si>
    <t>2. SpecHwy and No Levy Page 12 tabs changed conditional statements</t>
  </si>
  <si>
    <t>The following changes were made to this workbook on 12/08/09</t>
  </si>
  <si>
    <t>1. Instruction tab, added step 3 for 'inputBudSum'</t>
  </si>
  <si>
    <t>2. Added tab 'inputBudSum'</t>
  </si>
  <si>
    <t>3. Changed Budget Summary replacing the green areas for date/time/location so info comes from inputBudSum tab</t>
  </si>
  <si>
    <t>4. Deleted lines on Budget Summary reference in #3</t>
  </si>
  <si>
    <t>The following changes were made to this workbook on 10/2/09</t>
  </si>
  <si>
    <t>1. Cert tab line 14, added 'If amended….'</t>
  </si>
  <si>
    <t>2. Created TransferStatute tab</t>
  </si>
  <si>
    <t>3. Created NonBudFunds tab</t>
  </si>
  <si>
    <t xml:space="preserve">4. Instructions tab added 6b for the TransferStatute tab
</t>
  </si>
  <si>
    <t>5. Added 'See Tab A-E' for violations</t>
  </si>
  <si>
    <t xml:space="preserve">6. Changed each fund page removing 'Yes' and 'No' replacing with 'See Tab' for possible violation </t>
  </si>
  <si>
    <t>7. Nonbud tab changed Net Violation to July 1</t>
  </si>
  <si>
    <t>8. Instruction tab changed 9i to k for 'See Tab'</t>
  </si>
  <si>
    <t>9. Certificate tab moved the Assisted By: and added more lines for governing body signatures</t>
  </si>
  <si>
    <t>The following changes were made to this workbook on 7/16/09</t>
  </si>
  <si>
    <t>1. Mvalloc tab, changed the table reference in each cell from 'D' to 'E'</t>
  </si>
  <si>
    <t>2. Debt tab, moved the footer information down so as not show in the table</t>
  </si>
  <si>
    <t>3. Debt Service tab, for the actual column, changed alignment so figures appear on the right side versus the left</t>
  </si>
  <si>
    <t>4. Levy page '9' and '10', removed the protection from the 'green' input areas</t>
  </si>
  <si>
    <t>The following changes were made to this workbook on 4/24/09</t>
  </si>
  <si>
    <t>1. Transfer tab - changed the column heading dates as had wrong reference cell</t>
  </si>
  <si>
    <t>The following were changed to this spreadsheet on 3/19/09</t>
  </si>
  <si>
    <t>1. Change Certificate page Bond &amp; Interest to Debt Service</t>
  </si>
  <si>
    <t>The following were changed to this spreadsheet on 2/23/09</t>
  </si>
  <si>
    <t>1. Instructions concerning submitting of the budget…required electronic.</t>
  </si>
  <si>
    <t>2. Input Other tab changed line 51 from Budget Summary to Budget Certificate.</t>
  </si>
  <si>
    <t>3.  On the general tab lines 25 and 26 merged the cells in column c/d.</t>
  </si>
  <si>
    <t>The following were changed to this spreadsheet on 8/13/08</t>
  </si>
  <si>
    <t>1. Input tab (inputPrYr) added column for the current year expenditures.</t>
  </si>
  <si>
    <t>2. Statement of Indebtedness (debt) added lines to all categories.</t>
  </si>
  <si>
    <t xml:space="preserve">3. All tax levy funds and no tax levy funds fund pages made the following changes: </t>
  </si>
  <si>
    <t>3a. Made the total expenditures block for the actual and current year to turn 'Red' if violation occurs.</t>
  </si>
  <si>
    <r>
      <t>3b. Unencumbered Cash for the actual year turn '</t>
    </r>
    <r>
      <rPr>
        <sz val="12"/>
        <color indexed="10"/>
        <rFont val="Times New Roman"/>
        <family val="1"/>
      </rPr>
      <t>Red</t>
    </r>
    <r>
      <rPr>
        <sz val="12"/>
        <rFont val="Times New Roman"/>
        <family val="1"/>
      </rPr>
      <t>' if violation occurs.</t>
    </r>
  </si>
  <si>
    <r>
      <t xml:space="preserve">3c. In statements about violations, if no violation occurs, then a red </t>
    </r>
    <r>
      <rPr>
        <sz val="12"/>
        <color indexed="10"/>
        <rFont val="Times New Roman"/>
        <family val="1"/>
      </rPr>
      <t>'No'</t>
    </r>
    <r>
      <rPr>
        <sz val="12"/>
        <rFont val="Times New Roman"/>
        <family val="1"/>
      </rPr>
      <t xml:space="preserve"> will appear.</t>
    </r>
  </si>
  <si>
    <t>4. All tax levy fund pages abbreviated the non-appropriated, total expenditures/non-appropriated, and delinquency computation rate.</t>
  </si>
  <si>
    <r>
      <t xml:space="preserve">5. Special Highway and all no tax levy fund pages added to the proposed column unencumbered cash balance block will turn </t>
    </r>
    <r>
      <rPr>
        <sz val="12"/>
        <color indexed="10"/>
        <rFont val="Times New Roman"/>
        <family val="1"/>
      </rPr>
      <t>red</t>
    </r>
    <r>
      <rPr>
        <sz val="12"/>
        <rFont val="Times New Roman"/>
        <family val="1"/>
      </rPr>
      <t xml:space="preserve"> and below will say in red '</t>
    </r>
    <r>
      <rPr>
        <sz val="12"/>
        <color indexed="10"/>
        <rFont val="Times New Roman"/>
        <family val="1"/>
      </rPr>
      <t>Budget Violation</t>
    </r>
    <r>
      <rPr>
        <sz val="12"/>
        <rFont val="Times New Roman"/>
        <family val="1"/>
      </rPr>
      <t>' if the cash balance is negative.</t>
    </r>
  </si>
  <si>
    <t>6. Neighborhood Revitalization (nhood) took off the protection for the page number and made the estimate rebate round the figures to whole dollars.</t>
  </si>
  <si>
    <t xml:space="preserve">7. Instruction page have changed all reference for Bond &amp; Interest to Debt Service. </t>
  </si>
  <si>
    <t>7a. Added instruction line 4a to explain about no-fund warrants and temporary notes can be added to the debt service on the Computation to Determine Levy Limit.</t>
  </si>
  <si>
    <t>7b. Added instruction line 9d to explain more about the debt service fund page can included for debts.</t>
  </si>
  <si>
    <t>8. Added to the instruction page lines 11a - 11c to provide a little more insight for the Neighborhood Revitalization rebate.</t>
  </si>
  <si>
    <t>9. Added instruction line 2b to explain how to delete delinquency rate from tax levy fund pages.</t>
  </si>
  <si>
    <t>10. Changed the Bond &amp; Interest tab (B&amp;I) to Debt Service tab (DebtService).</t>
  </si>
  <si>
    <t>11. Changed the revised date on all pages changed.</t>
  </si>
  <si>
    <t>12. Added instruction lines 9j to 9l for additional edits for budget authority.</t>
  </si>
  <si>
    <t>13. Added to instruction line 9c about the miscellaneous receipt for the proposed year takes into account the ad valorem taxes for the 10% Rule.</t>
  </si>
  <si>
    <t>14. Added to instruction line 6 for using chartered ordinance number in place of statute reference.</t>
  </si>
  <si>
    <t>The following were changed to this spreadsheet on 7/01/08</t>
  </si>
  <si>
    <t>1. Added instructions to 9f for the nonbud tab explaining about negative cash balance.</t>
  </si>
  <si>
    <t>2. Changed the formula for unencumbered cash balances for nonbud to show a negative balance.</t>
  </si>
  <si>
    <t>3. Added box under unencumbered cash balance for nonbud to reflect a negative ending cash balance.</t>
  </si>
  <si>
    <t>4. Changed foot note to reflect the changes made on 7/1/08 to the above tabs.</t>
  </si>
  <si>
    <t>The following were changed to this spreadsheet on 5/08/08</t>
  </si>
  <si>
    <r>
      <t>1. The Non-Budgeted Funds form was changed from 'Only the actual budget year shown' to read '</t>
    </r>
    <r>
      <rPr>
        <i/>
        <sz val="12"/>
        <rFont val="Times New Roman"/>
        <family val="1"/>
      </rPr>
      <t>Only the actual budget year for YYYY is to be shown</t>
    </r>
    <r>
      <rPr>
        <sz val="12"/>
        <rFont val="Times New Roman"/>
        <family val="1"/>
      </rPr>
      <t>'.</t>
    </r>
  </si>
  <si>
    <t>2. The page revised date has been changed.</t>
  </si>
  <si>
    <t>The following were changed to this spreadsheet on 8/06/2007</t>
  </si>
  <si>
    <t>1.Instruction were changed: POC change from Roger to ARMUNIS, got rid about us providing disk, took the input page and split to input prior budget information and input other, with more in-depth of forms and fund page, and more in-depth on the budget summary page.</t>
  </si>
  <si>
    <t>2. All pages have a revision date.</t>
  </si>
  <si>
    <t xml:space="preserve">3. Hard coded the Bond &amp; Interest on Certificate and Summary pages. </t>
  </si>
  <si>
    <t xml:space="preserve">4.  All dates on the spreadsheet are controlled from input on the input Prior Year page. </t>
  </si>
  <si>
    <t>5. Computation to Determine Limit now has the debts amounts link within the spreadsheet.</t>
  </si>
  <si>
    <t>6. Schedule of Transfers have the transfers totaled and link to the budget summary page.</t>
  </si>
  <si>
    <t>7. Added a single page for no tax levy fund page.</t>
  </si>
  <si>
    <t>8. Now can key in the official title on the budget summary page.</t>
  </si>
  <si>
    <t xml:space="preserve">9. Now have the indebtedness prior year added to the input page and link with the budget summary page. </t>
  </si>
  <si>
    <t>10. Added three input spaces for League's highway estimates and link to Special Highway page. Included a note about usage to County Road System.</t>
  </si>
  <si>
    <t>11. Added Neighborhood Revitalization, LAVTR, City and County Revenue Sharing, and Slider to the input page and to the General Fund page.</t>
  </si>
  <si>
    <t>12. Changed the Budget Summary Heading to include Actual/Estimate/Proposed with the budget year.</t>
  </si>
  <si>
    <t>13. Changed the delinquency rate formula for all levy funds.</t>
  </si>
  <si>
    <t>14. Changed the Certificate page so the county name flows instead of having unneeded spaces.</t>
  </si>
  <si>
    <t>15. Using the actual ad valorem rates from the Clerk's information versus from the Certificate page.</t>
  </si>
  <si>
    <t>16. Delinquency rate for actual for 3 decimal and note that rate can be up to 5% over the actual rate.</t>
  </si>
  <si>
    <t>17. Computation to Determine Limit changed the note on bottom to include publish ordinance and attach the published ordinance to the budget.</t>
  </si>
  <si>
    <t>18. Add total section for Schedule of Transfers and linked the total to the Budget Summary page.</t>
  </si>
  <si>
    <t>19. Added column to show when debt retired on the Indebtedness page.</t>
  </si>
  <si>
    <t>20. Special Highway page added line for County Transfer Gas and linked adjustment for prior and county transfer gas from the input page (inputoth).</t>
  </si>
  <si>
    <t>21. add non-budgeted page(nonbud) and link to Certificate and Budget Summary</t>
  </si>
  <si>
    <t>22. Added to instructions about non-appropriated balance are limited to 5%.</t>
  </si>
  <si>
    <t>23 Added warning "Exceeds 5%" on all fund pages for the non-appropriated balance and cause to be red if exceeded.</t>
  </si>
  <si>
    <t>24. Made the Schedule of Transfers it's own worksheet.</t>
  </si>
  <si>
    <t>25. Created Neighborhood Revitalization table added links to all fund pages.</t>
  </si>
  <si>
    <t>26. Added to the instructions about neighborhood revitalization.</t>
  </si>
  <si>
    <t>27. Added Slider to the Vehicle Allocation table and linked to the fund pages.</t>
  </si>
  <si>
    <t>28. Added to all budgeted fund pages the budget authority for the actual year, budget violation, and cash violation.</t>
  </si>
  <si>
    <t>29. Added instruction on the addition for item 29.</t>
  </si>
  <si>
    <t xml:space="preserve">30. Added miscellaneous line item for receipt and expenditure and add line for "Exceed 10% Rule' and make the block red if exceeded. </t>
  </si>
  <si>
    <t xml:space="preserve">31. Added instructions for the 10% Rule. </t>
  </si>
  <si>
    <t>33. Expanded on the preparation of budget note 10 for instructions for the Notice of Budget Hearing.</t>
  </si>
  <si>
    <t>34. Added 'excluding oil, gas, and mobile homes' to lines 8 and 14 on Clerks budget info on tab inputoth.</t>
  </si>
  <si>
    <t>The following changes were made to this workbook during October 2023</t>
  </si>
  <si>
    <t>1. Removed external links to correct update issue in Tab A, Tab B, Tab C, Tab D and Tab E.</t>
  </si>
  <si>
    <t>The following changes were made to this workbook during April 2024</t>
  </si>
  <si>
    <t>1. Removed LAVTR from inputOth, Library Grant and General fund tabs.</t>
  </si>
  <si>
    <t>2. Removed City and County Revenue Sharing from inputOth and General fund tabs.</t>
  </si>
  <si>
    <t>3. Renamed Cash Forward/Cash-Basis Reserve to Cash Reserve on all fund pages.</t>
  </si>
  <si>
    <r>
      <t xml:space="preserve">As required by KSA 79-1801, budgets without intent to exceed the Revenue Neutral Rate (RNR) are required be certified and submitted to the County Clerk by </t>
    </r>
    <r>
      <rPr>
        <b/>
        <u/>
        <sz val="12"/>
        <rFont val="Times New Roman"/>
        <family val="1"/>
      </rPr>
      <t>5:00 p.m. on October 1st</t>
    </r>
    <r>
      <rPr>
        <sz val="12"/>
        <rFont val="Times New Roman"/>
        <family val="1"/>
      </rPr>
      <t xml:space="preserve">  of each year.  If the taxing subdivision must conduct a hearing to approve exceeding the RNR, the budget must be certified and submitted to the County Clerk by </t>
    </r>
    <r>
      <rPr>
        <b/>
        <u/>
        <sz val="12"/>
        <rFont val="Times New Roman"/>
        <family val="1"/>
      </rPr>
      <t>5:00 p.m. on October 1st</t>
    </r>
    <r>
      <rPr>
        <sz val="12"/>
        <rFont val="Times New Roman"/>
        <family val="1"/>
      </rPr>
      <t>. If the county clerk does not receive a certified budget from a taxing subdivision, then the clerk shalll use the prior year budget and levy rates for the current year.</t>
    </r>
  </si>
  <si>
    <t>The following changes were made to this workbook during May 2025</t>
  </si>
  <si>
    <t>1.  Updated the certification date on the 'Instruction' tab for those not exceeding RNR to 5:00 p.m. on October 1st.  Added the time of 5:00 p.m. in front of October 1st as the certificate deadline or the those taxing subdivisions exceeding the RNR.</t>
  </si>
  <si>
    <t>2.  Added phrase "If the county clerk does not receive a certified budget from a taxing subdivision, then the clerk shalll use the prior year budget and levy rates for the current year" to the 'Instruction' tab.</t>
  </si>
  <si>
    <t>3.  Revised the formula used for the RNR Resolution YES/NO question on the certificate page.</t>
  </si>
  <si>
    <t>4.  Added "* Copy of "Notice of Hearing" from budget must be attached to this form when submitted to the county clerk(s)." to the SAMPLE Notice to County Clerk tab under the intend to exceed section. Also changted date from August 25 to October 1 on the same tab on the no intent to exceed the RNR section.</t>
  </si>
  <si>
    <t>City of Concordia</t>
  </si>
  <si>
    <t>Cloud County</t>
  </si>
  <si>
    <t>Library Employee Benefit</t>
  </si>
  <si>
    <t>12-16, 102</t>
  </si>
  <si>
    <t>Economic Development</t>
  </si>
  <si>
    <t>12-1617H</t>
  </si>
  <si>
    <t>Special Parks &amp; Rec</t>
  </si>
  <si>
    <t>911 PSAP</t>
  </si>
  <si>
    <t>Water &amp; Sewer Utility</t>
  </si>
  <si>
    <t>Gas Utility</t>
  </si>
  <si>
    <t>Computer Equip Reserve</t>
  </si>
  <si>
    <t>Special Equip Reserve</t>
  </si>
  <si>
    <t>Revolving Loan</t>
  </si>
  <si>
    <t>Fire Dept Grants &amp; Donations</t>
  </si>
  <si>
    <t>Police Dept Grants &amp; Donat</t>
  </si>
  <si>
    <t>Cemetery Endowment</t>
  </si>
  <si>
    <t>Recreation Grant &amp; Donations</t>
  </si>
  <si>
    <t>TIF Project</t>
  </si>
  <si>
    <t>CIP</t>
  </si>
  <si>
    <t>Small Animal Trust</t>
  </si>
  <si>
    <t>Cafeteria Plan</t>
  </si>
  <si>
    <t>Agency Funds</t>
  </si>
  <si>
    <t>Waste Water Trtmt</t>
  </si>
  <si>
    <t>ARPA</t>
  </si>
  <si>
    <t>Housing Authority Project</t>
  </si>
  <si>
    <t>St. Joseph Subdivision</t>
  </si>
  <si>
    <t>City Manager</t>
  </si>
  <si>
    <t>August 6, 2025</t>
  </si>
  <si>
    <t>5:30 p.m.</t>
  </si>
  <si>
    <t>Commission Chambers of City Hall</t>
  </si>
  <si>
    <t>City Hall, 701 Washington</t>
  </si>
  <si>
    <t>September 3, 2025</t>
  </si>
  <si>
    <t>General - Nondept</t>
  </si>
  <si>
    <t>Water/Sewer Operating</t>
  </si>
  <si>
    <t>Animal Shelter</t>
  </si>
  <si>
    <t>Waste Water Treatment</t>
  </si>
  <si>
    <t>Gas</t>
  </si>
  <si>
    <t>GO Bond Series 2014</t>
  </si>
  <si>
    <t>5/1 &amp; 11/1</t>
  </si>
  <si>
    <t>GO Bond Series 2017</t>
  </si>
  <si>
    <t>GO Bond Series 2020</t>
  </si>
  <si>
    <t>Temp Notes Series 2023</t>
  </si>
  <si>
    <t>Police Dept Copier</t>
  </si>
  <si>
    <t>6.99%</t>
  </si>
  <si>
    <t>Vehicle Rental Excise Tax</t>
  </si>
  <si>
    <t>Special Assessments</t>
  </si>
  <si>
    <t>Prepaid Special Assessments</t>
  </si>
  <si>
    <t>Local Retail Sales Tax</t>
  </si>
  <si>
    <t>1% County Sales Tax</t>
  </si>
  <si>
    <t>Local Use Tax</t>
  </si>
  <si>
    <t>Franchise Fees</t>
  </si>
  <si>
    <t>State Highway Connecting Links</t>
  </si>
  <si>
    <t>Local Grants</t>
  </si>
  <si>
    <t>Federal Grants - STEP</t>
  </si>
  <si>
    <t>Federal Grants - CDBG</t>
  </si>
  <si>
    <t>Rent, Licenses, Permits &amp; Fees</t>
  </si>
  <si>
    <t>Administrative Services</t>
  </si>
  <si>
    <t>Cemetery Permits/Deeds</t>
  </si>
  <si>
    <t>Ambulance Service</t>
  </si>
  <si>
    <t>Inter-Local Ambulance Agreement</t>
  </si>
  <si>
    <t>Dispatch Interlocal Agreement</t>
  </si>
  <si>
    <t>Airport Fuel Sales</t>
  </si>
  <si>
    <t>Pool Operations/Concession Stand Sales</t>
  </si>
  <si>
    <t>Fines, Forfeitures and Penalties</t>
  </si>
  <si>
    <t>Broadway Plaza Operations</t>
  </si>
  <si>
    <t>Rental Income</t>
  </si>
  <si>
    <t>Sale of Assets</t>
  </si>
  <si>
    <t>Donations</t>
  </si>
  <si>
    <t>Reimbursed Expense</t>
  </si>
  <si>
    <t xml:space="preserve">  Allocation to Others</t>
  </si>
  <si>
    <t>Nondepartmental</t>
  </si>
  <si>
    <t>Finance &amp; Administration</t>
  </si>
  <si>
    <t>Municipal Court</t>
  </si>
  <si>
    <t>Law Enforcement</t>
  </si>
  <si>
    <t>Police Communications</t>
  </si>
  <si>
    <t>Fire Protection</t>
  </si>
  <si>
    <t>Animal Control</t>
  </si>
  <si>
    <t>Planning &amp; Zoning</t>
  </si>
  <si>
    <t>Public Works</t>
  </si>
  <si>
    <t>Airport Operations</t>
  </si>
  <si>
    <t>Park Operations</t>
  </si>
  <si>
    <t>Cemetery Operations</t>
  </si>
  <si>
    <t>Swimming Pool Operations</t>
  </si>
  <si>
    <t>Recreation Programs</t>
  </si>
  <si>
    <t>Sports Complex</t>
  </si>
  <si>
    <t>Broadway Plaza</t>
  </si>
  <si>
    <t>St. Joseph Subdivision (reserves)</t>
  </si>
  <si>
    <t>Demolition of 830 W 11th</t>
  </si>
  <si>
    <t>General Fund Guaranteed Reserve</t>
  </si>
  <si>
    <t>Transfer to Capital Improvement</t>
  </si>
  <si>
    <t>Transfer to Computer Reserve</t>
  </si>
  <si>
    <t>Transfer to Economic Development</t>
  </si>
  <si>
    <t>Transfer to Equipment Reserve</t>
  </si>
  <si>
    <t>Transfer from Wastewater Treatment Plant 1</t>
  </si>
  <si>
    <t>Transfer from Wastewater Treatment Plant 2</t>
  </si>
  <si>
    <t>Transfer from Water and Sewer Oper Fund</t>
  </si>
  <si>
    <t>Interest - GO Bond Series 2014</t>
  </si>
  <si>
    <t>Interest - GO Bond Series 2017</t>
  </si>
  <si>
    <t>Interest - GO Bond Series 2020</t>
  </si>
  <si>
    <t>Interest - Temp Notes Series 2023</t>
  </si>
  <si>
    <t>Issuance Fees</t>
  </si>
  <si>
    <t>Rental Vehicle Tax</t>
  </si>
  <si>
    <t>Library Appropriation</t>
  </si>
  <si>
    <t>Library Benefit Appropriation</t>
  </si>
  <si>
    <t>Contractual</t>
  </si>
  <si>
    <t>Small Business Development</t>
  </si>
  <si>
    <t>Transfer from General Fund</t>
  </si>
  <si>
    <t>Salaries</t>
  </si>
  <si>
    <t>Commodities</t>
  </si>
  <si>
    <t>Transfer to Equipment Reserve Fund</t>
  </si>
  <si>
    <t>Projects</t>
  </si>
  <si>
    <t>RHID</t>
  </si>
  <si>
    <t>RHID Distribution</t>
  </si>
  <si>
    <t>Local Alcohol</t>
  </si>
  <si>
    <t>Capital Outlay</t>
  </si>
  <si>
    <t>Fees</t>
  </si>
  <si>
    <t>Water Receipts</t>
  </si>
  <si>
    <t>Sewer Receipts</t>
  </si>
  <si>
    <t>State Sales Tax</t>
  </si>
  <si>
    <t>Water Tower Maintenance Program</t>
  </si>
  <si>
    <t>Transfer to Economic Development Fund</t>
  </si>
  <si>
    <t>Transfer to Computer Equipment Replacement Fund</t>
  </si>
  <si>
    <t>Transfer to Special Equipment Reserve Fund</t>
  </si>
  <si>
    <t>Transfer to Debt Service Fund</t>
  </si>
  <si>
    <t>Projects/Reserve</t>
  </si>
  <si>
    <t>Transfer to Capital Improvement Project Fund</t>
  </si>
  <si>
    <t>Trsfr from General</t>
  </si>
  <si>
    <t>Opioid Settlement</t>
  </si>
  <si>
    <t>Trsfr from Water</t>
  </si>
  <si>
    <t>Trsfr from Spec Hwy</t>
  </si>
  <si>
    <t>State Grants</t>
  </si>
  <si>
    <t>Federal Grants</t>
  </si>
  <si>
    <t>Reimbursed Exp</t>
  </si>
  <si>
    <t>Federal Grant-FAA</t>
  </si>
  <si>
    <t>Bequests &amp; Gifts</t>
  </si>
  <si>
    <t>Federal Grant-DOJ</t>
  </si>
  <si>
    <t>State Grant- FFE</t>
  </si>
  <si>
    <t>Local Grant</t>
  </si>
  <si>
    <t>Reimbursements</t>
  </si>
  <si>
    <t>Trsfr to Animal Shelter</t>
  </si>
  <si>
    <t>State Grant- CCLIP</t>
  </si>
  <si>
    <t>Employee Contributions</t>
  </si>
  <si>
    <t>Receipts</t>
  </si>
  <si>
    <t>Meter Fees</t>
  </si>
  <si>
    <t>Personal</t>
  </si>
  <si>
    <t>Expenses</t>
  </si>
  <si>
    <t>Trsfr to Debt Service</t>
  </si>
  <si>
    <t>State Grant- MIH</t>
  </si>
  <si>
    <t>7th St &amp; 11th/Highland Debt</t>
  </si>
  <si>
    <t>Federal Grants - SAFER</t>
  </si>
  <si>
    <t>State Grants - Conservation</t>
  </si>
  <si>
    <t>12-1, 118</t>
  </si>
  <si>
    <t>12-1, 117</t>
  </si>
  <si>
    <t>12-825d</t>
  </si>
  <si>
    <t>79-2934</t>
  </si>
  <si>
    <t>Backhoe</t>
  </si>
  <si>
    <t>Transfer from RHID Fund</t>
  </si>
  <si>
    <t>Housing Debt</t>
  </si>
  <si>
    <t>RHID Distribution - city estimate</t>
  </si>
  <si>
    <t>Police Dept Tasers</t>
  </si>
  <si>
    <t>A Roll Call Vote of the Concordia City Commission To Levy a Property Tax Exceeding the 
Revenue Neutral Rate</t>
  </si>
  <si>
    <t>Hearing to Exceed Revenue Neutral Rate held on September 3, 2025</t>
  </si>
  <si>
    <t>Resolution No. 2025-2210</t>
  </si>
  <si>
    <t>Marsha Wentz</t>
  </si>
  <si>
    <t>Christy Hasch</t>
  </si>
  <si>
    <t>Amy Jackson</t>
  </si>
  <si>
    <t>Ashley Hutchinson</t>
  </si>
  <si>
    <t>Charles Lambertz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</si>
</sst>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1" formatCode="_(* #,##0_);_(* \(#,##0\);_(* &quot;-&quot;_);_(@_)"/>
    <numFmt numFmtId="43" formatCode="_(* #,##0.00_);_(* \(#,##0.00\);_(* &quot;-&quot;??_);_(@_)"/>
    <numFmt numFmtId="164" formatCode="0.000_)"/>
    <numFmt numFmtId="165" formatCode="0.00000_)"/>
    <numFmt numFmtId="166" formatCode="0_)"/>
    <numFmt numFmtId="167" formatCode="m/d/yy"/>
    <numFmt numFmtId="168" formatCode="m/d"/>
    <numFmt numFmtId="169" formatCode="_(* #,##0_);_(* \(#,##0\);_(* &quot;-&quot;??_);_(@_)"/>
    <numFmt numFmtId="170" formatCode="0.000"/>
    <numFmt numFmtId="171" formatCode="#,##0.000_);\(#,##0.000\)"/>
    <numFmt numFmtId="172" formatCode="#,##0.000"/>
    <numFmt numFmtId="173" formatCode="&quot;$&quot;#,##0"/>
    <numFmt numFmtId="174" formatCode="&quot;$&quot;#,##0.00"/>
    <numFmt numFmtId="175" formatCode="0.0%"/>
    <numFmt numFmtId="176" formatCode="#,##0.000_);[Red]\(#,##0.000\)"/>
    <numFmt numFmtId="177" formatCode="0.000000000000000"/>
  </numFmts>
  <fonts count="63" x14ac:knownFonts="1">
    <font>
      <sz val="12"/>
      <name val="Courier"/>
    </font>
    <font>
      <sz val="11"/>
      <color theme="1"/>
      <name val="Calibri"/>
      <family val="2"/>
      <scheme val="minor"/>
    </font>
    <font>
      <b/>
      <sz val="12"/>
      <name val="Courier"/>
    </font>
    <font>
      <sz val="12"/>
      <name val="Courier"/>
      <family val="3"/>
    </font>
    <font>
      <b/>
      <sz val="12"/>
      <name val="Times New Roman"/>
      <family val="1"/>
    </font>
    <font>
      <sz val="12"/>
      <name val="Times New Roman"/>
      <family val="1"/>
    </font>
    <font>
      <u/>
      <sz val="12"/>
      <name val="Times New Roman"/>
      <family val="1"/>
    </font>
    <font>
      <sz val="11"/>
      <name val="Times New Roman"/>
      <family val="1"/>
    </font>
    <font>
      <sz val="9"/>
      <name val="Times New Roman"/>
      <family val="1"/>
    </font>
    <font>
      <sz val="8"/>
      <name val="Courier"/>
      <family val="3"/>
    </font>
    <font>
      <u/>
      <sz val="12"/>
      <color indexed="12"/>
      <name val="Courier"/>
      <family val="3"/>
    </font>
    <font>
      <sz val="8"/>
      <name val="Times New Roman"/>
      <family val="1"/>
    </font>
    <font>
      <b/>
      <u/>
      <sz val="12"/>
      <name val="Times New Roman"/>
      <family val="1"/>
    </font>
    <font>
      <b/>
      <u/>
      <sz val="12"/>
      <color indexed="10"/>
      <name val="Times New Roman"/>
      <family val="1"/>
    </font>
    <font>
      <b/>
      <u/>
      <sz val="12"/>
      <name val="Courier"/>
      <family val="3"/>
    </font>
    <font>
      <sz val="12"/>
      <color indexed="10"/>
      <name val="Times New Roman"/>
      <family val="1"/>
    </font>
    <font>
      <b/>
      <sz val="8"/>
      <name val="Times New Roman"/>
      <family val="1"/>
    </font>
    <font>
      <sz val="12"/>
      <color indexed="10"/>
      <name val="Courier"/>
      <family val="3"/>
    </font>
    <font>
      <i/>
      <sz val="12"/>
      <name val="Times New Roman"/>
      <family val="1"/>
    </font>
    <font>
      <sz val="12"/>
      <name val="Courier"/>
      <family val="3"/>
    </font>
    <font>
      <b/>
      <sz val="12"/>
      <name val="Courier"/>
      <family val="3"/>
    </font>
    <font>
      <b/>
      <sz val="12"/>
      <color indexed="10"/>
      <name val="Times New Roman"/>
      <family val="1"/>
    </font>
    <font>
      <b/>
      <u/>
      <sz val="8"/>
      <color indexed="10"/>
      <name val="Times New Roman"/>
      <family val="1"/>
    </font>
    <font>
      <b/>
      <sz val="14"/>
      <name val="Times New Roman"/>
      <family val="1"/>
    </font>
    <font>
      <sz val="12"/>
      <name val="Courier New"/>
      <family val="3"/>
    </font>
    <font>
      <sz val="12"/>
      <name val="Courier New"/>
      <family val="3"/>
    </font>
    <font>
      <b/>
      <sz val="13"/>
      <name val="Times New Roman"/>
      <family val="1"/>
    </font>
    <font>
      <u/>
      <sz val="12"/>
      <color indexed="12"/>
      <name val="Times New Roman"/>
      <family val="1"/>
    </font>
    <font>
      <sz val="10"/>
      <name val="Times New Roman"/>
      <family val="1"/>
    </font>
    <font>
      <b/>
      <u/>
      <sz val="8"/>
      <name val="Times New Roman"/>
      <family val="1"/>
    </font>
    <font>
      <b/>
      <u/>
      <sz val="10"/>
      <name val="Times New Roman"/>
      <family val="1"/>
    </font>
    <font>
      <b/>
      <sz val="10"/>
      <name val="Times New Roman"/>
      <family val="1"/>
    </font>
    <font>
      <sz val="10"/>
      <name val="Courier"/>
      <family val="3"/>
    </font>
    <font>
      <sz val="9"/>
      <color indexed="10"/>
      <name val="Times New Roman"/>
      <family val="1"/>
    </font>
    <font>
      <sz val="10"/>
      <color indexed="10"/>
      <name val="Times New Roman"/>
      <family val="1"/>
    </font>
    <font>
      <u/>
      <sz val="12"/>
      <color indexed="12"/>
      <name val="Courier New"/>
      <family val="3"/>
    </font>
    <font>
      <sz val="11"/>
      <color theme="1"/>
      <name val="Calibri"/>
      <family val="2"/>
      <scheme val="minor"/>
    </font>
    <font>
      <u/>
      <sz val="12"/>
      <color rgb="FFFF0000"/>
      <name val="Times New Roman"/>
      <family val="1"/>
    </font>
    <font>
      <b/>
      <sz val="12"/>
      <color rgb="FFFF0000"/>
      <name val="Times New Roman"/>
      <family val="1"/>
    </font>
    <font>
      <sz val="10"/>
      <color rgb="FFFF0000"/>
      <name val="Times New Roman"/>
      <family val="1"/>
    </font>
    <font>
      <sz val="12"/>
      <color rgb="FFFF0000"/>
      <name val="Times New Roman"/>
      <family val="1"/>
    </font>
    <font>
      <b/>
      <u/>
      <sz val="12"/>
      <color rgb="FFFF0000"/>
      <name val="Times New Roman"/>
      <family val="1"/>
    </font>
    <font>
      <sz val="11"/>
      <name val="Calibri"/>
      <family val="2"/>
    </font>
    <font>
      <sz val="7"/>
      <name val="Times New Roman"/>
      <family val="1"/>
    </font>
    <font>
      <b/>
      <sz val="16"/>
      <name val="Times New Roman"/>
      <family val="1"/>
    </font>
    <font>
      <b/>
      <u/>
      <sz val="16"/>
      <name val="Times New Roman"/>
      <family val="1"/>
    </font>
    <font>
      <sz val="14"/>
      <name val="Times New Roman"/>
      <family val="1"/>
    </font>
    <font>
      <b/>
      <sz val="14"/>
      <name val="Calibri"/>
      <family val="2"/>
      <scheme val="minor"/>
    </font>
    <font>
      <sz val="12"/>
      <name val="Calibri"/>
      <family val="2"/>
      <scheme val="minor"/>
    </font>
    <font>
      <b/>
      <sz val="13"/>
      <name val="Calibri"/>
      <family val="2"/>
      <scheme val="minor"/>
    </font>
    <font>
      <b/>
      <sz val="12"/>
      <name val="Calibri"/>
      <family val="2"/>
      <scheme val="minor"/>
    </font>
    <font>
      <b/>
      <sz val="14"/>
      <color rgb="FF000000"/>
      <name val="Cambria"/>
      <family val="1"/>
      <scheme val="major"/>
    </font>
    <font>
      <b/>
      <sz val="28"/>
      <color rgb="FF000000"/>
      <name val="Calibri Light"/>
      <family val="2"/>
    </font>
    <font>
      <sz val="12"/>
      <name val="Calibri"/>
      <family val="2"/>
    </font>
    <font>
      <sz val="12"/>
      <color rgb="FF000000"/>
      <name val="Calibri"/>
      <family val="2"/>
    </font>
    <font>
      <b/>
      <sz val="12"/>
      <color rgb="FFFF0000"/>
      <name val="Calibri"/>
      <family val="2"/>
    </font>
    <font>
      <sz val="12"/>
      <color theme="1"/>
      <name val="Calibri"/>
      <family val="2"/>
    </font>
    <font>
      <b/>
      <sz val="14"/>
      <color theme="1"/>
      <name val="Cambria"/>
      <family val="1"/>
    </font>
    <font>
      <b/>
      <sz val="14"/>
      <name val="Cambria"/>
      <family val="1"/>
      <scheme val="major"/>
    </font>
    <font>
      <sz val="12"/>
      <name val="Courier"/>
    </font>
    <font>
      <b/>
      <sz val="20"/>
      <color rgb="FF000000"/>
      <name val="Cambria"/>
      <family val="1"/>
      <scheme val="major"/>
    </font>
    <font>
      <sz val="9"/>
      <color indexed="81"/>
      <name val="Tahoma"/>
      <family val="2"/>
    </font>
    <font>
      <b/>
      <sz val="9"/>
      <color indexed="81"/>
      <name val="Tahoma"/>
      <family val="2"/>
    </font>
  </fonts>
  <fills count="19">
    <fill>
      <patternFill patternType="none"/>
    </fill>
    <fill>
      <patternFill patternType="gray125"/>
    </fill>
    <fill>
      <patternFill patternType="solid">
        <fgColor indexed="11"/>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15"/>
        <bgColor indexed="64"/>
      </patternFill>
    </fill>
    <fill>
      <patternFill patternType="solid">
        <fgColor indexed="11"/>
        <bgColor indexed="64"/>
      </patternFill>
    </fill>
    <fill>
      <patternFill patternType="solid">
        <fgColor indexed="10"/>
        <bgColor indexed="64"/>
      </patternFill>
    </fill>
    <fill>
      <patternFill patternType="solid">
        <fgColor indexed="35"/>
        <bgColor indexed="64"/>
      </patternFill>
    </fill>
    <fill>
      <patternFill patternType="solid">
        <fgColor indexed="34"/>
        <bgColor indexed="64"/>
      </patternFill>
    </fill>
    <fill>
      <patternFill patternType="solid">
        <fgColor indexed="41"/>
        <bgColor indexed="64"/>
      </patternFill>
    </fill>
    <fill>
      <patternFill patternType="solid">
        <fgColor rgb="FFFFFFC0"/>
        <bgColor indexed="64"/>
      </patternFill>
    </fill>
    <fill>
      <patternFill patternType="solid">
        <fgColor rgb="FF00FF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double">
        <color indexed="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537">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 fillId="0" borderId="0"/>
    <xf numFmtId="0" fontId="24" fillId="0" borderId="0"/>
    <xf numFmtId="0" fontId="3" fillId="0" borderId="0"/>
    <xf numFmtId="0" fontId="3"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3"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3" fillId="0" borderId="0"/>
    <xf numFmtId="0" fontId="3" fillId="0" borderId="0"/>
    <xf numFmtId="0" fontId="3" fillId="0" borderId="0"/>
    <xf numFmtId="0" fontId="3" fillId="0" borderId="0"/>
    <xf numFmtId="0" fontId="24" fillId="0" borderId="0"/>
    <xf numFmtId="0" fontId="25" fillId="0" borderId="0"/>
    <xf numFmtId="0" fontId="24" fillId="0" borderId="0"/>
    <xf numFmtId="0" fontId="24" fillId="0" borderId="0"/>
    <xf numFmtId="0" fontId="24" fillId="0" borderId="0"/>
    <xf numFmtId="0" fontId="24" fillId="0" borderId="0"/>
    <xf numFmtId="0" fontId="25" fillId="0" borderId="0"/>
    <xf numFmtId="0" fontId="24" fillId="0" borderId="0"/>
    <xf numFmtId="0" fontId="24" fillId="0" borderId="0"/>
    <xf numFmtId="0" fontId="24" fillId="0" borderId="0"/>
    <xf numFmtId="0" fontId="24" fillId="0" borderId="0"/>
    <xf numFmtId="0" fontId="25" fillId="0" borderId="0"/>
    <xf numFmtId="0" fontId="24" fillId="0" borderId="0"/>
    <xf numFmtId="0" fontId="24" fillId="0" borderId="0"/>
    <xf numFmtId="0" fontId="24" fillId="0" borderId="0"/>
    <xf numFmtId="0" fontId="24" fillId="0" borderId="0"/>
    <xf numFmtId="0" fontId="25" fillId="0" borderId="0"/>
    <xf numFmtId="0" fontId="24" fillId="0" borderId="0"/>
    <xf numFmtId="0" fontId="3" fillId="0" borderId="0"/>
    <xf numFmtId="0" fontId="24" fillId="0" borderId="0"/>
    <xf numFmtId="0" fontId="3" fillId="0" borderId="0"/>
    <xf numFmtId="0" fontId="3" fillId="0" borderId="0"/>
    <xf numFmtId="0" fontId="24" fillId="0" borderId="0"/>
    <xf numFmtId="0" fontId="24" fillId="0" borderId="0"/>
    <xf numFmtId="0" fontId="3" fillId="0" borderId="0"/>
    <xf numFmtId="0" fontId="3" fillId="0" borderId="0"/>
    <xf numFmtId="0" fontId="24" fillId="0" borderId="0"/>
    <xf numFmtId="0" fontId="25" fillId="0" borderId="0"/>
    <xf numFmtId="0" fontId="24" fillId="0" borderId="0"/>
    <xf numFmtId="0" fontId="3" fillId="0" borderId="0"/>
    <xf numFmtId="0" fontId="24" fillId="0" borderId="0"/>
    <xf numFmtId="0" fontId="3" fillId="0" borderId="0"/>
    <xf numFmtId="0" fontId="3" fillId="0" borderId="0"/>
    <xf numFmtId="0" fontId="24" fillId="0" borderId="0"/>
    <xf numFmtId="0" fontId="24" fillId="0" borderId="0"/>
    <xf numFmtId="0" fontId="3" fillId="0" borderId="0"/>
    <xf numFmtId="0" fontId="24" fillId="0" borderId="0"/>
    <xf numFmtId="0" fontId="19" fillId="0" borderId="0"/>
    <xf numFmtId="0" fontId="24" fillId="0" borderId="0"/>
    <xf numFmtId="0" fontId="24" fillId="0" borderId="0"/>
    <xf numFmtId="0" fontId="24" fillId="0" borderId="0"/>
    <xf numFmtId="0" fontId="3" fillId="0" borderId="0"/>
    <xf numFmtId="0" fontId="24" fillId="0" borderId="0"/>
    <xf numFmtId="0" fontId="3" fillId="0" borderId="0"/>
    <xf numFmtId="0" fontId="24" fillId="0" borderId="0"/>
    <xf numFmtId="0" fontId="24"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3" fillId="0" borderId="0"/>
    <xf numFmtId="0" fontId="24" fillId="0" borderId="0"/>
    <xf numFmtId="0" fontId="3" fillId="0" borderId="0"/>
    <xf numFmtId="0" fontId="3" fillId="0" borderId="0"/>
    <xf numFmtId="0" fontId="3" fillId="0" borderId="0"/>
    <xf numFmtId="0" fontId="24" fillId="0" borderId="0"/>
    <xf numFmtId="0" fontId="24" fillId="0" borderId="0"/>
    <xf numFmtId="0" fontId="3" fillId="0" borderId="0"/>
    <xf numFmtId="0" fontId="24" fillId="0" borderId="0"/>
    <xf numFmtId="0" fontId="3" fillId="0" borderId="0"/>
    <xf numFmtId="0" fontId="3" fillId="0" borderId="0"/>
    <xf numFmtId="0" fontId="3" fillId="0" borderId="0"/>
    <xf numFmtId="0" fontId="3" fillId="0" borderId="0"/>
    <xf numFmtId="0" fontId="24" fillId="0" borderId="0"/>
    <xf numFmtId="0" fontId="24" fillId="0" borderId="0"/>
    <xf numFmtId="0" fontId="3" fillId="0" borderId="0"/>
    <xf numFmtId="0" fontId="24" fillId="0" borderId="0"/>
    <xf numFmtId="0" fontId="24" fillId="0" borderId="0"/>
    <xf numFmtId="0" fontId="24"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24" fillId="0" borderId="0"/>
    <xf numFmtId="0" fontId="24" fillId="0" borderId="0"/>
    <xf numFmtId="0" fontId="3" fillId="0" borderId="0"/>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24" fillId="0" borderId="0"/>
    <xf numFmtId="0" fontId="24" fillId="0" borderId="0"/>
    <xf numFmtId="0" fontId="3"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 fillId="0" borderId="0"/>
    <xf numFmtId="0" fontId="3"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19" fillId="0" borderId="0"/>
    <xf numFmtId="0" fontId="24" fillId="0" borderId="0"/>
    <xf numFmtId="0" fontId="24" fillId="0" borderId="0"/>
    <xf numFmtId="0" fontId="3" fillId="0" borderId="0"/>
    <xf numFmtId="0" fontId="24" fillId="0" borderId="0"/>
    <xf numFmtId="0" fontId="24" fillId="0" borderId="0"/>
    <xf numFmtId="0" fontId="3" fillId="0" borderId="0"/>
    <xf numFmtId="0" fontId="19" fillId="0" borderId="0"/>
    <xf numFmtId="0" fontId="24" fillId="0" borderId="0"/>
    <xf numFmtId="0" fontId="24" fillId="0" borderId="0"/>
    <xf numFmtId="0" fontId="3" fillId="0" borderId="0"/>
    <xf numFmtId="0" fontId="24" fillId="0" borderId="0"/>
    <xf numFmtId="0" fontId="3"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3" fillId="0" borderId="0"/>
    <xf numFmtId="0" fontId="24" fillId="0" borderId="0"/>
    <xf numFmtId="0" fontId="24" fillId="0" borderId="0"/>
    <xf numFmtId="0" fontId="3" fillId="0" borderId="0"/>
    <xf numFmtId="0" fontId="24" fillId="0" borderId="0"/>
    <xf numFmtId="0" fontId="19"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3" fillId="0" borderId="0"/>
    <xf numFmtId="0" fontId="24" fillId="0" borderId="0"/>
    <xf numFmtId="0" fontId="24" fillId="0" borderId="0"/>
    <xf numFmtId="0" fontId="3" fillId="0" borderId="0"/>
    <xf numFmtId="0" fontId="24" fillId="0" borderId="0"/>
    <xf numFmtId="0" fontId="24" fillId="0" borderId="0"/>
    <xf numFmtId="0" fontId="3" fillId="0" borderId="0"/>
    <xf numFmtId="0" fontId="24" fillId="0" borderId="0"/>
    <xf numFmtId="0" fontId="24" fillId="0" borderId="0"/>
    <xf numFmtId="0" fontId="3"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3" fillId="0" borderId="0"/>
    <xf numFmtId="0" fontId="3" fillId="0" borderId="0"/>
    <xf numFmtId="0" fontId="3" fillId="0" borderId="0"/>
    <xf numFmtId="0" fontId="3" fillId="0" borderId="0"/>
    <xf numFmtId="0" fontId="24" fillId="0" borderId="0"/>
    <xf numFmtId="0" fontId="3" fillId="0" borderId="0"/>
    <xf numFmtId="0" fontId="24" fillId="0" borderId="0"/>
    <xf numFmtId="0" fontId="24" fillId="0" borderId="0"/>
    <xf numFmtId="0" fontId="3" fillId="0" borderId="0"/>
    <xf numFmtId="0" fontId="3" fillId="0" borderId="0"/>
    <xf numFmtId="0" fontId="24" fillId="0" borderId="0"/>
    <xf numFmtId="0" fontId="24" fillId="0" borderId="0"/>
    <xf numFmtId="0" fontId="24" fillId="0" borderId="0"/>
    <xf numFmtId="0" fontId="24"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24" fillId="0" borderId="0"/>
    <xf numFmtId="0" fontId="3"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5" fillId="0" borderId="0"/>
    <xf numFmtId="0" fontId="59" fillId="0" borderId="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24" fillId="0" borderId="0"/>
  </cellStyleXfs>
  <cellXfs count="730">
    <xf numFmtId="0" fontId="0" fillId="0" borderId="0" xfId="0"/>
    <xf numFmtId="0" fontId="5" fillId="0" borderId="0" xfId="0" applyFont="1"/>
    <xf numFmtId="0" fontId="5" fillId="0" borderId="0" xfId="0" applyFont="1" applyProtection="1">
      <protection locked="0"/>
    </xf>
    <xf numFmtId="3" fontId="5" fillId="2" borderId="1" xfId="0" applyNumberFormat="1" applyFont="1" applyFill="1" applyBorder="1" applyProtection="1">
      <protection locked="0"/>
    </xf>
    <xf numFmtId="0" fontId="5" fillId="3" borderId="0" xfId="0" applyFont="1" applyFill="1"/>
    <xf numFmtId="37" fontId="5" fillId="3" borderId="0" xfId="0" applyNumberFormat="1" applyFont="1" applyFill="1" applyAlignment="1">
      <alignment horizontal="right"/>
    </xf>
    <xf numFmtId="37" fontId="5" fillId="3" borderId="0" xfId="0" applyNumberFormat="1" applyFont="1" applyFill="1" applyAlignment="1">
      <alignment horizontal="left"/>
    </xf>
    <xf numFmtId="37" fontId="5" fillId="3" borderId="2" xfId="0" applyNumberFormat="1" applyFont="1" applyFill="1" applyBorder="1" applyAlignment="1">
      <alignment horizontal="left"/>
    </xf>
    <xf numFmtId="37" fontId="5" fillId="3" borderId="1" xfId="0" applyNumberFormat="1" applyFont="1" applyFill="1" applyBorder="1"/>
    <xf numFmtId="0" fontId="5" fillId="3" borderId="3" xfId="0" applyFont="1" applyFill="1" applyBorder="1"/>
    <xf numFmtId="3" fontId="5" fillId="3" borderId="0" xfId="0" applyNumberFormat="1" applyFont="1" applyFill="1"/>
    <xf numFmtId="37" fontId="5" fillId="3" borderId="0" xfId="0" applyNumberFormat="1" applyFont="1" applyFill="1"/>
    <xf numFmtId="3" fontId="5" fillId="3" borderId="1" xfId="0" applyNumberFormat="1" applyFont="1" applyFill="1" applyBorder="1"/>
    <xf numFmtId="0" fontId="4" fillId="3" borderId="0" xfId="0" applyFont="1" applyFill="1"/>
    <xf numFmtId="37" fontId="5" fillId="3" borderId="0" xfId="0" applyNumberFormat="1" applyFont="1" applyFill="1" applyAlignment="1">
      <alignment horizontal="fill"/>
    </xf>
    <xf numFmtId="3" fontId="5" fillId="3" borderId="4" xfId="0" applyNumberFormat="1" applyFont="1" applyFill="1" applyBorder="1" applyAlignment="1">
      <alignment horizontal="fill"/>
    </xf>
    <xf numFmtId="3" fontId="5" fillId="3" borderId="1" xfId="0" applyNumberFormat="1" applyFont="1" applyFill="1" applyBorder="1" applyProtection="1">
      <protection locked="0"/>
    </xf>
    <xf numFmtId="37" fontId="4" fillId="3" borderId="2" xfId="0" applyNumberFormat="1" applyFont="1" applyFill="1" applyBorder="1" applyAlignment="1">
      <alignment horizontal="left"/>
    </xf>
    <xf numFmtId="3" fontId="5" fillId="4" borderId="1" xfId="0" applyNumberFormat="1" applyFont="1" applyFill="1" applyBorder="1"/>
    <xf numFmtId="3" fontId="4" fillId="4" borderId="1" xfId="0" applyNumberFormat="1" applyFont="1" applyFill="1" applyBorder="1"/>
    <xf numFmtId="0" fontId="5" fillId="2" borderId="2" xfId="0" applyFont="1" applyFill="1" applyBorder="1" applyProtection="1">
      <protection locked="0"/>
    </xf>
    <xf numFmtId="0" fontId="5" fillId="3" borderId="2" xfId="0" applyFont="1" applyFill="1" applyBorder="1" applyAlignment="1">
      <alignment horizontal="left"/>
    </xf>
    <xf numFmtId="0" fontId="5" fillId="2" borderId="2" xfId="0" applyFont="1" applyFill="1" applyBorder="1" applyAlignment="1" applyProtection="1">
      <alignment horizontal="left"/>
      <protection locked="0"/>
    </xf>
    <xf numFmtId="3" fontId="5" fillId="2" borderId="5" xfId="0" applyNumberFormat="1" applyFont="1" applyFill="1" applyBorder="1" applyProtection="1">
      <protection locked="0"/>
    </xf>
    <xf numFmtId="0" fontId="5" fillId="3" borderId="6" xfId="0" applyFont="1" applyFill="1" applyBorder="1" applyAlignment="1">
      <alignment horizontal="left"/>
    </xf>
    <xf numFmtId="0" fontId="5" fillId="3" borderId="2" xfId="0" applyFont="1" applyFill="1" applyBorder="1"/>
    <xf numFmtId="0" fontId="5" fillId="3" borderId="2" xfId="0" applyFont="1" applyFill="1" applyBorder="1" applyProtection="1">
      <protection locked="0"/>
    </xf>
    <xf numFmtId="37" fontId="5" fillId="3" borderId="2" xfId="0" applyNumberFormat="1" applyFont="1" applyFill="1" applyBorder="1"/>
    <xf numFmtId="37" fontId="15" fillId="5" borderId="5" xfId="0" applyNumberFormat="1" applyFont="1" applyFill="1" applyBorder="1" applyAlignment="1">
      <alignment horizontal="center"/>
    </xf>
    <xf numFmtId="0" fontId="0" fillId="0" borderId="0" xfId="0"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Continuous" vertical="center"/>
    </xf>
    <xf numFmtId="0" fontId="5" fillId="3" borderId="0" xfId="0" applyFont="1" applyFill="1" applyAlignment="1">
      <alignment vertical="center"/>
    </xf>
    <xf numFmtId="37" fontId="4" fillId="3" borderId="0" xfId="0" applyNumberFormat="1" applyFont="1" applyFill="1" applyAlignment="1">
      <alignment horizontal="centerContinuous" vertical="center"/>
    </xf>
    <xf numFmtId="0" fontId="5" fillId="3" borderId="0" xfId="0" applyFont="1" applyFill="1" applyAlignment="1">
      <alignment horizontal="centerContinuous" vertical="center"/>
    </xf>
    <xf numFmtId="37" fontId="5" fillId="3" borderId="0" xfId="0" applyNumberFormat="1" applyFont="1" applyFill="1" applyAlignment="1">
      <alignment horizontal="centerContinuous" vertical="center"/>
    </xf>
    <xf numFmtId="37" fontId="5" fillId="3" borderId="0" xfId="0" applyNumberFormat="1" applyFont="1" applyFill="1" applyAlignment="1">
      <alignment horizontal="fill" vertical="center"/>
    </xf>
    <xf numFmtId="1" fontId="5" fillId="3" borderId="2" xfId="0" applyNumberFormat="1" applyFont="1" applyFill="1" applyBorder="1" applyAlignment="1">
      <alignment horizontal="centerContinuous" vertical="center"/>
    </xf>
    <xf numFmtId="0" fontId="5" fillId="3" borderId="5" xfId="0" applyFont="1" applyFill="1" applyBorder="1" applyAlignment="1">
      <alignment horizontal="centerContinuous" vertical="center"/>
    </xf>
    <xf numFmtId="37" fontId="5" fillId="3" borderId="2" xfId="0" applyNumberFormat="1" applyFont="1" applyFill="1" applyBorder="1" applyAlignment="1">
      <alignment horizontal="centerContinuous" vertical="center"/>
    </xf>
    <xf numFmtId="0" fontId="5" fillId="3" borderId="7" xfId="0" applyFont="1" applyFill="1" applyBorder="1" applyAlignment="1">
      <alignment horizontal="centerContinuous" vertical="center"/>
    </xf>
    <xf numFmtId="1" fontId="5" fillId="3" borderId="8" xfId="0" applyNumberFormat="1" applyFont="1" applyFill="1" applyBorder="1" applyAlignment="1">
      <alignment horizontal="center" vertical="center"/>
    </xf>
    <xf numFmtId="37" fontId="5" fillId="3" borderId="8" xfId="0" applyNumberFormat="1" applyFont="1" applyFill="1" applyBorder="1" applyAlignment="1">
      <alignment horizontal="center" vertical="center"/>
    </xf>
    <xf numFmtId="37" fontId="5" fillId="3" borderId="1" xfId="0" applyNumberFormat="1" applyFont="1" applyFill="1" applyBorder="1" applyAlignment="1">
      <alignment horizontal="left" vertical="center"/>
    </xf>
    <xf numFmtId="37" fontId="5" fillId="3" borderId="9" xfId="0" applyNumberFormat="1" applyFont="1" applyFill="1" applyBorder="1" applyAlignment="1">
      <alignment horizontal="center" vertical="center"/>
    </xf>
    <xf numFmtId="0" fontId="5" fillId="3" borderId="9" xfId="0" applyFont="1" applyFill="1" applyBorder="1" applyAlignment="1">
      <alignment horizontal="center" vertical="center"/>
    </xf>
    <xf numFmtId="37"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0" fontId="5" fillId="3" borderId="1" xfId="0" applyFont="1" applyFill="1" applyBorder="1" applyAlignment="1">
      <alignment vertical="center"/>
    </xf>
    <xf numFmtId="37" fontId="5" fillId="3" borderId="9" xfId="0" applyNumberFormat="1" applyFont="1" applyFill="1" applyBorder="1" applyAlignment="1">
      <alignment vertical="center"/>
    </xf>
    <xf numFmtId="37" fontId="5" fillId="3" borderId="0" xfId="0" applyNumberFormat="1" applyFont="1" applyFill="1" applyAlignment="1">
      <alignment vertical="center"/>
    </xf>
    <xf numFmtId="37" fontId="5" fillId="3" borderId="10" xfId="0" applyNumberFormat="1" applyFont="1" applyFill="1" applyBorder="1" applyAlignment="1">
      <alignment vertical="center"/>
    </xf>
    <xf numFmtId="166" fontId="5" fillId="3" borderId="0" xfId="0" applyNumberFormat="1" applyFont="1" applyFill="1" applyAlignment="1">
      <alignment vertical="center"/>
    </xf>
    <xf numFmtId="37" fontId="5" fillId="3" borderId="9" xfId="0" applyNumberFormat="1" applyFont="1" applyFill="1" applyBorder="1" applyAlignment="1">
      <alignment horizontal="fill" vertical="center"/>
    </xf>
    <xf numFmtId="0" fontId="5" fillId="3" borderId="8" xfId="0" applyFont="1" applyFill="1" applyBorder="1" applyAlignment="1">
      <alignment vertical="center"/>
    </xf>
    <xf numFmtId="1" fontId="6" fillId="3" borderId="0" xfId="0" applyNumberFormat="1" applyFont="1" applyFill="1" applyAlignment="1">
      <alignment horizontal="center" vertical="center"/>
    </xf>
    <xf numFmtId="3" fontId="5" fillId="3" borderId="4"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7" fontId="5" fillId="3" borderId="4" xfId="0" applyNumberFormat="1" applyFont="1" applyFill="1" applyBorder="1" applyAlignment="1">
      <alignment horizontal="fill" vertical="center"/>
    </xf>
    <xf numFmtId="0" fontId="5" fillId="3" borderId="4" xfId="0" applyFont="1" applyFill="1" applyBorder="1" applyAlignment="1">
      <alignment vertical="center"/>
    </xf>
    <xf numFmtId="37" fontId="5" fillId="3" borderId="0" xfId="0" applyNumberFormat="1" applyFont="1" applyFill="1" applyAlignment="1">
      <alignment horizontal="right" vertical="center"/>
    </xf>
    <xf numFmtId="0" fontId="5" fillId="7" borderId="0" xfId="0" applyFont="1" applyFill="1" applyAlignment="1" applyProtection="1">
      <alignment horizontal="left" vertical="center"/>
      <protection locked="0"/>
    </xf>
    <xf numFmtId="0" fontId="5" fillId="0" borderId="0" xfId="0" applyFont="1" applyAlignment="1" applyProtection="1">
      <alignment vertical="center"/>
      <protection locked="0"/>
    </xf>
    <xf numFmtId="37" fontId="4" fillId="3" borderId="0" xfId="0" applyNumberFormat="1" applyFont="1" applyFill="1" applyAlignment="1">
      <alignment horizontal="left" vertical="center"/>
    </xf>
    <xf numFmtId="37" fontId="5" fillId="3" borderId="0" xfId="0" applyNumberFormat="1" applyFont="1" applyFill="1" applyAlignment="1" applyProtection="1">
      <alignment horizontal="left" vertical="center"/>
      <protection locked="0"/>
    </xf>
    <xf numFmtId="0" fontId="4" fillId="7" borderId="1" xfId="0" applyFont="1" applyFill="1" applyBorder="1" applyAlignment="1" applyProtection="1">
      <alignment horizontal="center" vertical="center"/>
      <protection locked="0"/>
    </xf>
    <xf numFmtId="0" fontId="5" fillId="6" borderId="8" xfId="0" applyFont="1" applyFill="1" applyBorder="1" applyAlignment="1">
      <alignment horizontal="center" vertical="center"/>
    </xf>
    <xf numFmtId="37" fontId="5" fillId="3" borderId="12" xfId="0" applyNumberFormat="1" applyFont="1" applyFill="1" applyBorder="1" applyAlignment="1">
      <alignment horizontal="center" vertical="center"/>
    </xf>
    <xf numFmtId="37" fontId="5" fillId="6" borderId="9" xfId="0" applyNumberFormat="1" applyFont="1" applyFill="1" applyBorder="1" applyAlignment="1">
      <alignment horizontal="center" vertical="center"/>
    </xf>
    <xf numFmtId="3" fontId="5" fillId="2" borderId="9" xfId="0" applyNumberFormat="1" applyFont="1" applyFill="1" applyBorder="1" applyAlignment="1" applyProtection="1">
      <alignment vertical="center"/>
      <protection locked="0"/>
    </xf>
    <xf numFmtId="3" fontId="5" fillId="2" borderId="1" xfId="0" applyNumberFormat="1" applyFont="1" applyFill="1" applyBorder="1" applyAlignment="1" applyProtection="1">
      <alignment vertical="center"/>
      <protection locked="0"/>
    </xf>
    <xf numFmtId="0" fontId="0" fillId="3" borderId="0" xfId="0" applyFill="1" applyAlignment="1">
      <alignment vertical="center"/>
    </xf>
    <xf numFmtId="0" fontId="5" fillId="2" borderId="1" xfId="0" applyFont="1" applyFill="1" applyBorder="1" applyAlignment="1" applyProtection="1">
      <alignment vertical="center"/>
      <protection locked="0"/>
    </xf>
    <xf numFmtId="37" fontId="5" fillId="3" borderId="4" xfId="0" applyNumberFormat="1" applyFont="1" applyFill="1" applyBorder="1" applyAlignment="1">
      <alignment horizontal="left" vertical="center"/>
    </xf>
    <xf numFmtId="0" fontId="5" fillId="3" borderId="7" xfId="0" applyFont="1" applyFill="1" applyBorder="1" applyAlignment="1">
      <alignment vertical="center"/>
    </xf>
    <xf numFmtId="37" fontId="5" fillId="3" borderId="5" xfId="0" applyNumberFormat="1" applyFont="1" applyFill="1" applyBorder="1" applyAlignment="1">
      <alignment vertical="center"/>
    </xf>
    <xf numFmtId="37" fontId="5" fillId="4" borderId="5" xfId="0" applyNumberFormat="1" applyFont="1" applyFill="1" applyBorder="1" applyAlignment="1">
      <alignment vertical="center"/>
    </xf>
    <xf numFmtId="0" fontId="5" fillId="3" borderId="1" xfId="0" applyFont="1" applyFill="1" applyBorder="1" applyAlignment="1" applyProtection="1">
      <alignment vertical="center"/>
      <protection locked="0"/>
    </xf>
    <xf numFmtId="164" fontId="5" fillId="2" borderId="1" xfId="0" applyNumberFormat="1" applyFont="1" applyFill="1" applyBorder="1" applyAlignment="1" applyProtection="1">
      <alignment vertical="center"/>
      <protection locked="0"/>
    </xf>
    <xf numFmtId="0" fontId="5" fillId="3" borderId="12" xfId="0" applyFont="1" applyFill="1" applyBorder="1" applyAlignment="1">
      <alignment vertical="center"/>
    </xf>
    <xf numFmtId="3" fontId="5" fillId="4" borderId="1" xfId="0" applyNumberFormat="1" applyFont="1" applyFill="1" applyBorder="1" applyAlignment="1">
      <alignment vertical="center"/>
    </xf>
    <xf numFmtId="3" fontId="5" fillId="3" borderId="0" xfId="0" applyNumberFormat="1" applyFont="1" applyFill="1" applyAlignment="1" applyProtection="1">
      <alignment vertical="center"/>
      <protection locked="0"/>
    </xf>
    <xf numFmtId="164" fontId="5" fillId="4" borderId="1" xfId="0" applyNumberFormat="1" applyFont="1" applyFill="1" applyBorder="1" applyAlignment="1">
      <alignment vertical="center"/>
    </xf>
    <xf numFmtId="0" fontId="5" fillId="3" borderId="5" xfId="0" applyFont="1" applyFill="1" applyBorder="1" applyAlignment="1">
      <alignment vertical="center"/>
    </xf>
    <xf numFmtId="0" fontId="6" fillId="3" borderId="0" xfId="0" applyFont="1" applyFill="1" applyAlignment="1">
      <alignment horizontal="center" vertical="center"/>
    </xf>
    <xf numFmtId="3" fontId="5" fillId="3" borderId="0" xfId="0" applyNumberFormat="1" applyFont="1" applyFill="1" applyAlignment="1">
      <alignment vertical="center"/>
    </xf>
    <xf numFmtId="0" fontId="5" fillId="3" borderId="0" xfId="0" applyFont="1" applyFill="1" applyAlignment="1" applyProtection="1">
      <alignment vertical="center"/>
      <protection locked="0"/>
    </xf>
    <xf numFmtId="0" fontId="5" fillId="3" borderId="4" xfId="0" applyFont="1" applyFill="1" applyBorder="1" applyAlignment="1">
      <alignment horizontal="center" vertical="center"/>
    </xf>
    <xf numFmtId="0" fontId="5" fillId="3" borderId="4" xfId="0" applyFont="1" applyFill="1" applyBorder="1" applyAlignment="1" applyProtection="1">
      <alignment horizontal="center" vertical="center"/>
      <protection locked="0"/>
    </xf>
    <xf numFmtId="0" fontId="5" fillId="3" borderId="12" xfId="0" applyFont="1" applyFill="1" applyBorder="1" applyAlignment="1" applyProtection="1">
      <alignment vertical="center"/>
      <protection locked="0"/>
    </xf>
    <xf numFmtId="3" fontId="5" fillId="7" borderId="1" xfId="0" applyNumberFormat="1" applyFont="1" applyFill="1" applyBorder="1" applyAlignment="1" applyProtection="1">
      <alignment vertical="center"/>
      <protection locked="0"/>
    </xf>
    <xf numFmtId="0" fontId="5" fillId="9" borderId="7" xfId="0" applyFont="1" applyFill="1" applyBorder="1" applyAlignment="1">
      <alignment vertical="center"/>
    </xf>
    <xf numFmtId="0" fontId="5" fillId="3" borderId="5" xfId="0" applyFont="1" applyFill="1" applyBorder="1" applyAlignment="1" applyProtection="1">
      <alignment vertical="center"/>
      <protection locked="0"/>
    </xf>
    <xf numFmtId="37" fontId="5" fillId="3" borderId="7" xfId="0" applyNumberFormat="1" applyFont="1" applyFill="1" applyBorder="1" applyAlignment="1">
      <alignment horizontal="left" vertical="center"/>
    </xf>
    <xf numFmtId="37" fontId="5" fillId="7" borderId="1" xfId="0" applyNumberFormat="1" applyFont="1" applyFill="1" applyBorder="1" applyAlignment="1" applyProtection="1">
      <alignment vertical="center"/>
      <protection locked="0"/>
    </xf>
    <xf numFmtId="37" fontId="4" fillId="3" borderId="7" xfId="0" applyNumberFormat="1" applyFont="1" applyFill="1" applyBorder="1" applyAlignment="1">
      <alignment horizontal="left" vertical="center"/>
    </xf>
    <xf numFmtId="0" fontId="5" fillId="3" borderId="13" xfId="0" applyFont="1" applyFill="1" applyBorder="1" applyAlignment="1">
      <alignment vertical="center"/>
    </xf>
    <xf numFmtId="0" fontId="0" fillId="3" borderId="4" xfId="0" applyFill="1" applyBorder="1" applyAlignment="1">
      <alignment vertical="center"/>
    </xf>
    <xf numFmtId="3" fontId="5" fillId="3" borderId="12" xfId="0" applyNumberFormat="1" applyFont="1" applyFill="1" applyBorder="1" applyAlignment="1">
      <alignment vertical="center"/>
    </xf>
    <xf numFmtId="3" fontId="5" fillId="3" borderId="5" xfId="0" applyNumberFormat="1" applyFont="1" applyFill="1" applyBorder="1" applyAlignment="1">
      <alignment vertical="center"/>
    </xf>
    <xf numFmtId="0" fontId="0" fillId="3" borderId="12" xfId="0" applyFill="1" applyBorder="1" applyAlignment="1">
      <alignment vertical="center"/>
    </xf>
    <xf numFmtId="0" fontId="0" fillId="3" borderId="7" xfId="0" applyFill="1" applyBorder="1" applyAlignment="1">
      <alignment vertical="center"/>
    </xf>
    <xf numFmtId="0" fontId="0" fillId="3" borderId="5" xfId="0" applyFill="1" applyBorder="1" applyAlignment="1">
      <alignment vertical="center"/>
    </xf>
    <xf numFmtId="0" fontId="5" fillId="6" borderId="9" xfId="0" applyFont="1" applyFill="1" applyBorder="1" applyAlignment="1">
      <alignment horizontal="center" vertical="center"/>
    </xf>
    <xf numFmtId="0" fontId="17" fillId="3" borderId="0" xfId="0" applyFont="1" applyFill="1" applyAlignment="1">
      <alignment vertical="center"/>
    </xf>
    <xf numFmtId="37" fontId="5" fillId="3" borderId="8" xfId="0" applyNumberFormat="1" applyFont="1" applyFill="1" applyBorder="1" applyAlignment="1">
      <alignment horizontal="left" vertical="center"/>
    </xf>
    <xf numFmtId="37" fontId="5" fillId="3" borderId="14" xfId="0" applyNumberFormat="1" applyFont="1" applyFill="1" applyBorder="1" applyAlignment="1">
      <alignment horizontal="center" vertical="center"/>
    </xf>
    <xf numFmtId="0" fontId="5" fillId="3" borderId="14" xfId="0" applyFont="1" applyFill="1" applyBorder="1" applyAlignment="1">
      <alignment horizontal="center" vertical="center"/>
    </xf>
    <xf numFmtId="37" fontId="4" fillId="3" borderId="4" xfId="0" applyNumberFormat="1" applyFont="1" applyFill="1" applyBorder="1" applyAlignment="1">
      <alignment horizontal="left" vertical="center"/>
    </xf>
    <xf numFmtId="37" fontId="5" fillId="3" borderId="1" xfId="0" applyNumberFormat="1" applyFont="1" applyFill="1" applyBorder="1" applyAlignment="1">
      <alignment horizontal="center" vertical="center"/>
    </xf>
    <xf numFmtId="0" fontId="5" fillId="3" borderId="14" xfId="0" applyFont="1" applyFill="1" applyBorder="1" applyAlignment="1">
      <alignment vertical="center"/>
    </xf>
    <xf numFmtId="37" fontId="12" fillId="3" borderId="2" xfId="0" applyNumberFormat="1" applyFont="1" applyFill="1" applyBorder="1" applyAlignment="1">
      <alignment horizontal="left" vertical="center"/>
    </xf>
    <xf numFmtId="37" fontId="12" fillId="3" borderId="5" xfId="0" applyNumberFormat="1" applyFont="1" applyFill="1" applyBorder="1" applyAlignment="1">
      <alignment horizontal="center" vertical="center"/>
    </xf>
    <xf numFmtId="0" fontId="5" fillId="3" borderId="9" xfId="0" applyFont="1" applyFill="1" applyBorder="1" applyAlignment="1">
      <alignment vertical="center"/>
    </xf>
    <xf numFmtId="37" fontId="5" fillId="4" borderId="1" xfId="0" applyNumberFormat="1" applyFont="1" applyFill="1" applyBorder="1" applyAlignment="1">
      <alignment horizontal="center" vertical="center"/>
    </xf>
    <xf numFmtId="37" fontId="5" fillId="3" borderId="2" xfId="0" applyNumberFormat="1" applyFont="1" applyFill="1" applyBorder="1" applyAlignment="1">
      <alignment vertical="center"/>
    </xf>
    <xf numFmtId="37" fontId="5" fillId="3" borderId="5" xfId="0" applyNumberFormat="1"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0" xfId="0" applyFont="1" applyFill="1" applyAlignment="1">
      <alignment horizontal="left" vertical="center"/>
    </xf>
    <xf numFmtId="3" fontId="5" fillId="3" borderId="4" xfId="0" applyNumberFormat="1" applyFont="1" applyFill="1" applyBorder="1" applyAlignment="1">
      <alignment vertical="center"/>
    </xf>
    <xf numFmtId="3" fontId="5" fillId="3" borderId="1" xfId="0" applyNumberFormat="1" applyFont="1" applyFill="1" applyBorder="1" applyAlignment="1">
      <alignment horizontal="center" vertical="center"/>
    </xf>
    <xf numFmtId="170" fontId="5" fillId="3" borderId="0" xfId="0" applyNumberFormat="1" applyFont="1" applyFill="1" applyAlignment="1">
      <alignment vertical="center"/>
    </xf>
    <xf numFmtId="0" fontId="11" fillId="3" borderId="8" xfId="0" applyFont="1" applyFill="1" applyBorder="1" applyAlignment="1">
      <alignment vertical="center"/>
    </xf>
    <xf numFmtId="0" fontId="11" fillId="3" borderId="5" xfId="0" applyFont="1" applyFill="1" applyBorder="1" applyAlignment="1">
      <alignment horizontal="center" vertical="center"/>
    </xf>
    <xf numFmtId="0" fontId="11" fillId="3" borderId="16" xfId="0" applyFont="1" applyFill="1" applyBorder="1" applyAlignment="1">
      <alignment vertical="center"/>
    </xf>
    <xf numFmtId="0" fontId="11" fillId="3" borderId="1" xfId="0" applyFont="1" applyFill="1" applyBorder="1" applyAlignment="1">
      <alignment horizontal="center" vertical="center"/>
    </xf>
    <xf numFmtId="0" fontId="11" fillId="3" borderId="6" xfId="0" applyFont="1" applyFill="1" applyBorder="1" applyAlignment="1">
      <alignment vertical="center"/>
    </xf>
    <xf numFmtId="3" fontId="11" fillId="7" borderId="1" xfId="0" applyNumberFormat="1" applyFont="1" applyFill="1" applyBorder="1" applyAlignment="1" applyProtection="1">
      <alignment horizontal="center" vertical="center"/>
      <protection locked="0"/>
    </xf>
    <xf numFmtId="0" fontId="11" fillId="3" borderId="4" xfId="0" applyFont="1" applyFill="1" applyBorder="1" applyAlignment="1">
      <alignment vertical="center"/>
    </xf>
    <xf numFmtId="3" fontId="11" fillId="4" borderId="1" xfId="0" applyNumberFormat="1" applyFont="1" applyFill="1" applyBorder="1" applyAlignment="1">
      <alignment horizontal="center" vertical="center"/>
    </xf>
    <xf numFmtId="0" fontId="11" fillId="3" borderId="0" xfId="0" applyFont="1" applyFill="1" applyAlignment="1">
      <alignment vertical="center"/>
    </xf>
    <xf numFmtId="3" fontId="11" fillId="3" borderId="0" xfId="0" applyNumberFormat="1" applyFont="1" applyFill="1" applyAlignment="1">
      <alignment horizontal="center" vertical="center"/>
    </xf>
    <xf numFmtId="0" fontId="11" fillId="3" borderId="0" xfId="0" applyFont="1" applyFill="1" applyAlignment="1">
      <alignment horizontal="center" vertical="center"/>
    </xf>
    <xf numFmtId="0" fontId="11" fillId="7" borderId="1" xfId="0" applyFont="1" applyFill="1" applyBorder="1" applyAlignment="1" applyProtection="1">
      <alignment vertical="center"/>
      <protection locked="0"/>
    </xf>
    <xf numFmtId="0" fontId="11" fillId="7" borderId="16" xfId="0" applyFont="1" applyFill="1" applyBorder="1" applyAlignment="1" applyProtection="1">
      <alignment vertical="center"/>
      <protection locked="0"/>
    </xf>
    <xf numFmtId="0" fontId="11" fillId="7" borderId="0" xfId="0" applyFont="1" applyFill="1" applyAlignment="1" applyProtection="1">
      <alignment vertical="center"/>
      <protection locked="0"/>
    </xf>
    <xf numFmtId="0" fontId="11" fillId="7" borderId="5" xfId="0" applyFont="1" applyFill="1" applyBorder="1" applyAlignment="1" applyProtection="1">
      <alignment vertical="center"/>
      <protection locked="0"/>
    </xf>
    <xf numFmtId="0" fontId="11" fillId="7" borderId="9" xfId="0" applyFont="1" applyFill="1" applyBorder="1" applyAlignment="1" applyProtection="1">
      <alignment vertical="center"/>
      <protection locked="0"/>
    </xf>
    <xf numFmtId="0" fontId="11" fillId="7" borderId="15" xfId="0" applyFont="1" applyFill="1" applyBorder="1" applyAlignment="1" applyProtection="1">
      <alignment vertical="center"/>
      <protection locked="0"/>
    </xf>
    <xf numFmtId="3" fontId="16" fillId="5" borderId="1" xfId="0" applyNumberFormat="1" applyFont="1" applyFill="1" applyBorder="1" applyAlignment="1">
      <alignment horizontal="center" vertical="center"/>
    </xf>
    <xf numFmtId="3" fontId="5" fillId="0" borderId="0" xfId="0" applyNumberFormat="1" applyFont="1" applyAlignment="1">
      <alignment vertical="center"/>
    </xf>
    <xf numFmtId="3" fontId="22" fillId="5" borderId="0" xfId="0" applyNumberFormat="1" applyFont="1" applyFill="1" applyAlignment="1">
      <alignment horizontal="center" vertical="center"/>
    </xf>
    <xf numFmtId="1" fontId="5" fillId="3" borderId="0" xfId="0" applyNumberFormat="1" applyFont="1" applyFill="1" applyAlignment="1">
      <alignment horizontal="right" vertical="center"/>
    </xf>
    <xf numFmtId="0" fontId="4" fillId="3" borderId="0" xfId="0" applyFont="1" applyFill="1" applyAlignment="1">
      <alignment vertical="center"/>
    </xf>
    <xf numFmtId="166" fontId="5" fillId="3" borderId="4" xfId="0" applyNumberFormat="1" applyFont="1" applyFill="1" applyBorder="1" applyAlignment="1">
      <alignment vertical="center"/>
    </xf>
    <xf numFmtId="37" fontId="5" fillId="3" borderId="4" xfId="0" quotePrefix="1" applyNumberFormat="1" applyFont="1" applyFill="1" applyBorder="1" applyAlignment="1">
      <alignment horizontal="right" vertical="center"/>
    </xf>
    <xf numFmtId="1" fontId="5" fillId="3" borderId="17" xfId="0" applyNumberFormat="1" applyFont="1" applyFill="1" applyBorder="1" applyAlignment="1">
      <alignment horizontal="center" vertical="center"/>
    </xf>
    <xf numFmtId="37" fontId="5" fillId="3" borderId="17" xfId="0" applyNumberFormat="1" applyFont="1" applyFill="1" applyBorder="1" applyAlignment="1">
      <alignment horizontal="center" vertical="center"/>
    </xf>
    <xf numFmtId="1" fontId="5" fillId="3" borderId="9" xfId="0" applyNumberFormat="1" applyFont="1" applyFill="1" applyBorder="1" applyAlignment="1">
      <alignment horizontal="center" vertical="center"/>
    </xf>
    <xf numFmtId="3" fontId="5" fillId="2" borderId="2" xfId="0" applyNumberFormat="1" applyFont="1" applyFill="1" applyBorder="1" applyAlignment="1" applyProtection="1">
      <alignment vertical="center"/>
      <protection locked="0"/>
    </xf>
    <xf numFmtId="3" fontId="5" fillId="3" borderId="2" xfId="0" applyNumberFormat="1" applyFont="1" applyFill="1" applyBorder="1" applyAlignment="1">
      <alignment vertical="center"/>
    </xf>
    <xf numFmtId="3" fontId="5" fillId="3" borderId="1" xfId="0" applyNumberFormat="1" applyFont="1" applyFill="1" applyBorder="1" applyAlignment="1">
      <alignment vertical="center"/>
    </xf>
    <xf numFmtId="37" fontId="5" fillId="3" borderId="6" xfId="0" applyNumberFormat="1" applyFont="1" applyFill="1" applyBorder="1" applyAlignment="1">
      <alignment horizontal="left" vertical="center"/>
    </xf>
    <xf numFmtId="0" fontId="5" fillId="2" borderId="2" xfId="0" applyFont="1" applyFill="1" applyBorder="1" applyAlignment="1" applyProtection="1">
      <alignment vertical="center"/>
      <protection locked="0"/>
    </xf>
    <xf numFmtId="37" fontId="5" fillId="2" borderId="1" xfId="0" applyNumberFormat="1" applyFont="1" applyFill="1" applyBorder="1" applyAlignment="1" applyProtection="1">
      <alignment vertical="center"/>
      <protection locked="0"/>
    </xf>
    <xf numFmtId="0" fontId="5" fillId="7" borderId="2" xfId="0" applyFont="1" applyFill="1" applyBorder="1" applyAlignment="1" applyProtection="1">
      <alignment vertical="center"/>
      <protection locked="0"/>
    </xf>
    <xf numFmtId="37" fontId="5" fillId="2" borderId="2" xfId="0" applyNumberFormat="1" applyFont="1" applyFill="1" applyBorder="1" applyAlignment="1" applyProtection="1">
      <alignment horizontal="left" vertical="center"/>
      <protection locked="0"/>
    </xf>
    <xf numFmtId="37" fontId="15" fillId="5" borderId="2" xfId="0" applyNumberFormat="1" applyFont="1" applyFill="1" applyBorder="1" applyAlignment="1">
      <alignment horizontal="center" vertical="center"/>
    </xf>
    <xf numFmtId="37" fontId="15" fillId="5" borderId="5" xfId="0" applyNumberFormat="1" applyFont="1" applyFill="1" applyBorder="1" applyAlignment="1">
      <alignment horizontal="center" vertical="center"/>
    </xf>
    <xf numFmtId="37" fontId="4" fillId="3" borderId="2" xfId="0" applyNumberFormat="1" applyFont="1" applyFill="1" applyBorder="1" applyAlignment="1">
      <alignment horizontal="left" vertical="center"/>
    </xf>
    <xf numFmtId="37" fontId="4" fillId="4" borderId="1" xfId="0" applyNumberFormat="1" applyFont="1" applyFill="1" applyBorder="1" applyAlignment="1">
      <alignment vertical="center"/>
    </xf>
    <xf numFmtId="3" fontId="4" fillId="4" borderId="2" xfId="0" applyNumberFormat="1" applyFont="1" applyFill="1" applyBorder="1" applyAlignment="1">
      <alignment vertical="center"/>
    </xf>
    <xf numFmtId="3" fontId="4" fillId="4" borderId="1" xfId="0" applyNumberFormat="1" applyFont="1" applyFill="1" applyBorder="1" applyAlignment="1">
      <alignment vertical="center"/>
    </xf>
    <xf numFmtId="0" fontId="5" fillId="3" borderId="2" xfId="0" applyFont="1" applyFill="1" applyBorder="1" applyAlignment="1">
      <alignment vertical="center"/>
    </xf>
    <xf numFmtId="37" fontId="15" fillId="5" borderId="1" xfId="0" applyNumberFormat="1" applyFont="1" applyFill="1" applyBorder="1" applyAlignment="1">
      <alignment horizontal="center" vertical="center"/>
    </xf>
    <xf numFmtId="3" fontId="5" fillId="4" borderId="2" xfId="0" applyNumberFormat="1" applyFont="1" applyFill="1" applyBorder="1" applyAlignment="1">
      <alignment vertical="center"/>
    </xf>
    <xf numFmtId="0" fontId="13" fillId="3" borderId="0" xfId="0" applyFont="1" applyFill="1" applyAlignment="1">
      <alignment horizontal="center" vertical="center"/>
    </xf>
    <xf numFmtId="0" fontId="5" fillId="3" borderId="6" xfId="0" applyFont="1" applyFill="1" applyBorder="1" applyAlignment="1">
      <alignment horizontal="left" vertical="center"/>
    </xf>
    <xf numFmtId="0" fontId="5" fillId="2" borderId="2" xfId="0" applyFont="1" applyFill="1" applyBorder="1" applyAlignment="1" applyProtection="1">
      <alignment horizontal="left" vertical="center"/>
      <protection locked="0"/>
    </xf>
    <xf numFmtId="0" fontId="5" fillId="3" borderId="17" xfId="0" applyFont="1" applyFill="1" applyBorder="1" applyAlignment="1">
      <alignment vertical="center"/>
    </xf>
    <xf numFmtId="0" fontId="5" fillId="7" borderId="1" xfId="0" applyFont="1" applyFill="1" applyBorder="1" applyAlignment="1" applyProtection="1">
      <alignment vertical="center"/>
      <protection locked="0"/>
    </xf>
    <xf numFmtId="37" fontId="5" fillId="2" borderId="5" xfId="0" applyNumberFormat="1" applyFont="1" applyFill="1" applyBorder="1" applyAlignment="1" applyProtection="1">
      <alignment vertical="center"/>
      <protection locked="0"/>
    </xf>
    <xf numFmtId="3" fontId="5" fillId="3" borderId="1" xfId="0" applyNumberFormat="1" applyFont="1" applyFill="1" applyBorder="1" applyAlignment="1">
      <alignment horizontal="fill" vertical="center"/>
    </xf>
    <xf numFmtId="0" fontId="15" fillId="0" borderId="0" xfId="0" applyFont="1" applyAlignment="1">
      <alignment vertical="center"/>
    </xf>
    <xf numFmtId="37" fontId="5" fillId="3" borderId="0" xfId="0" quotePrefix="1" applyNumberFormat="1" applyFont="1" applyFill="1" applyAlignment="1">
      <alignment horizontal="right" vertical="center"/>
    </xf>
    <xf numFmtId="3" fontId="5" fillId="3" borderId="1" xfId="1" applyNumberFormat="1" applyFont="1" applyFill="1" applyBorder="1" applyAlignment="1" applyProtection="1">
      <alignment horizontal="right" vertical="center"/>
    </xf>
    <xf numFmtId="3" fontId="5" fillId="2" borderId="1" xfId="0" applyNumberFormat="1" applyFont="1" applyFill="1" applyBorder="1" applyAlignment="1" applyProtection="1">
      <alignment horizontal="right" vertical="center"/>
      <protection locked="0"/>
    </xf>
    <xf numFmtId="3" fontId="5" fillId="3" borderId="1"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3" fontId="5" fillId="10" borderId="1" xfId="0" applyNumberFormat="1" applyFont="1" applyFill="1" applyBorder="1" applyAlignment="1">
      <alignment vertical="center"/>
    </xf>
    <xf numFmtId="0" fontId="5" fillId="3" borderId="0" xfId="0" applyFont="1" applyFill="1" applyAlignment="1">
      <alignment horizontal="fill" vertical="center"/>
    </xf>
    <xf numFmtId="0" fontId="5" fillId="3" borderId="1" xfId="0" applyFont="1" applyFill="1" applyBorder="1" applyAlignment="1">
      <alignment horizontal="left" vertical="center"/>
    </xf>
    <xf numFmtId="0" fontId="5" fillId="2" borderId="1" xfId="0" applyFont="1" applyFill="1" applyBorder="1" applyAlignment="1" applyProtection="1">
      <alignment horizontal="left" vertical="center"/>
      <protection locked="0"/>
    </xf>
    <xf numFmtId="37" fontId="4" fillId="4" borderId="10" xfId="0" applyNumberFormat="1" applyFont="1" applyFill="1" applyBorder="1" applyAlignment="1">
      <alignment vertical="center"/>
    </xf>
    <xf numFmtId="37" fontId="5" fillId="2" borderId="2" xfId="0" applyNumberFormat="1" applyFont="1" applyFill="1" applyBorder="1" applyAlignment="1" applyProtection="1">
      <alignment vertical="center"/>
      <protection locked="0"/>
    </xf>
    <xf numFmtId="37" fontId="5" fillId="3" borderId="1" xfId="0" applyNumberFormat="1" applyFont="1" applyFill="1" applyBorder="1" applyAlignment="1">
      <alignment horizontal="fill" vertical="center"/>
    </xf>
    <xf numFmtId="0" fontId="4" fillId="3" borderId="0" xfId="0" applyFont="1" applyFill="1" applyAlignment="1">
      <alignment horizontal="left" vertical="center"/>
    </xf>
    <xf numFmtId="0" fontId="5" fillId="3" borderId="4" xfId="0" applyFont="1" applyFill="1" applyBorder="1" applyAlignment="1">
      <alignment horizontal="fill" vertical="center"/>
    </xf>
    <xf numFmtId="0" fontId="4" fillId="3" borderId="2" xfId="0" applyFont="1" applyFill="1" applyBorder="1" applyAlignment="1">
      <alignment horizontal="left" vertical="center"/>
    </xf>
    <xf numFmtId="3" fontId="5" fillId="0" borderId="0" xfId="0" applyNumberFormat="1" applyFont="1" applyAlignment="1" applyProtection="1">
      <alignment vertical="center"/>
      <protection locked="0"/>
    </xf>
    <xf numFmtId="0" fontId="4" fillId="3" borderId="0" xfId="521" applyFont="1" applyFill="1" applyAlignment="1">
      <alignment horizontal="centerContinuous" vertical="center"/>
    </xf>
    <xf numFmtId="0" fontId="5" fillId="3" borderId="8" xfId="0" applyFont="1" applyFill="1" applyBorder="1" applyAlignment="1">
      <alignment horizontal="center" vertical="center"/>
    </xf>
    <xf numFmtId="0" fontId="7" fillId="3" borderId="9" xfId="0" applyFont="1" applyFill="1" applyBorder="1" applyAlignment="1">
      <alignment horizontal="center" vertical="center"/>
    </xf>
    <xf numFmtId="14" fontId="5" fillId="3" borderId="9" xfId="0" quotePrefix="1" applyNumberFormat="1" applyFont="1" applyFill="1" applyBorder="1" applyAlignment="1">
      <alignment horizontal="center" vertical="center"/>
    </xf>
    <xf numFmtId="14" fontId="5" fillId="2" borderId="1" xfId="0" applyNumberFormat="1" applyFont="1" applyFill="1" applyBorder="1" applyAlignment="1" applyProtection="1">
      <alignment horizontal="center" vertical="center"/>
      <protection locked="0"/>
    </xf>
    <xf numFmtId="1" fontId="5" fillId="2" borderId="1" xfId="0" applyNumberFormat="1" applyFont="1" applyFill="1" applyBorder="1" applyAlignment="1" applyProtection="1">
      <alignment horizontal="center" vertical="center"/>
      <protection locked="0"/>
    </xf>
    <xf numFmtId="2" fontId="5" fillId="2" borderId="1"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3" fontId="4" fillId="4" borderId="10" xfId="0" applyNumberFormat="1" applyFont="1" applyFill="1" applyBorder="1" applyAlignment="1">
      <alignment horizontal="center" vertical="center"/>
    </xf>
    <xf numFmtId="0" fontId="5" fillId="3" borderId="17" xfId="0" applyFont="1" applyFill="1" applyBorder="1" applyAlignment="1">
      <alignment horizontal="centerContinuous" vertical="center"/>
    </xf>
    <xf numFmtId="0" fontId="5" fillId="3" borderId="16" xfId="0" applyFont="1" applyFill="1" applyBorder="1" applyAlignment="1">
      <alignment horizontal="centerContinuous" vertical="center"/>
    </xf>
    <xf numFmtId="2" fontId="5" fillId="3" borderId="1" xfId="0" applyNumberFormat="1" applyFont="1" applyFill="1" applyBorder="1" applyAlignment="1">
      <alignment vertical="center"/>
    </xf>
    <xf numFmtId="37" fontId="5" fillId="2" borderId="1" xfId="0" applyNumberFormat="1" applyFont="1" applyFill="1" applyBorder="1" applyAlignment="1" applyProtection="1">
      <alignment horizontal="center" vertical="center"/>
      <protection locked="0"/>
    </xf>
    <xf numFmtId="168" fontId="5" fillId="2" borderId="1" xfId="0" applyNumberFormat="1" applyFont="1" applyFill="1" applyBorder="1" applyAlignment="1" applyProtection="1">
      <alignment horizontal="center" vertical="center"/>
      <protection locked="0"/>
    </xf>
    <xf numFmtId="0" fontId="4" fillId="3" borderId="1" xfId="0" applyFont="1" applyFill="1" applyBorder="1" applyAlignment="1">
      <alignment horizontal="left" vertical="center"/>
    </xf>
    <xf numFmtId="167" fontId="4" fillId="3"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37" fontId="4" fillId="4"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2" fontId="5" fillId="3" borderId="1" xfId="0" applyNumberFormat="1" applyFont="1" applyFill="1" applyBorder="1" applyAlignment="1">
      <alignment horizontal="center" vertical="center"/>
    </xf>
    <xf numFmtId="168" fontId="5"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37" fontId="5" fillId="0" borderId="0" xfId="0" applyNumberFormat="1" applyFont="1" applyAlignment="1" applyProtection="1">
      <alignment vertical="center"/>
      <protection locked="0"/>
    </xf>
    <xf numFmtId="0" fontId="5" fillId="0" borderId="0" xfId="0" applyFont="1" applyAlignment="1" applyProtection="1">
      <alignment horizontal="left" vertical="center"/>
      <protection locked="0"/>
    </xf>
    <xf numFmtId="0" fontId="4" fillId="0" borderId="0" xfId="0" applyFont="1" applyAlignment="1">
      <alignment vertical="center" wrapText="1"/>
    </xf>
    <xf numFmtId="0" fontId="4" fillId="3" borderId="8"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5" fillId="7" borderId="9" xfId="0" applyFont="1" applyFill="1" applyBorder="1" applyAlignment="1" applyProtection="1">
      <alignment vertical="center"/>
      <protection locked="0"/>
    </xf>
    <xf numFmtId="169" fontId="5" fillId="7" borderId="9" xfId="1" applyNumberFormat="1" applyFont="1" applyFill="1" applyBorder="1" applyAlignment="1" applyProtection="1">
      <alignment horizontal="center" vertical="center"/>
      <protection locked="0"/>
    </xf>
    <xf numFmtId="0" fontId="5" fillId="7" borderId="9" xfId="0" applyFont="1" applyFill="1" applyBorder="1" applyAlignment="1" applyProtection="1">
      <alignment horizontal="center" vertical="center"/>
      <protection locked="0"/>
    </xf>
    <xf numFmtId="169" fontId="5" fillId="7" borderId="1" xfId="1" applyNumberFormat="1" applyFont="1" applyFill="1" applyBorder="1" applyAlignment="1" applyProtection="1">
      <alignment horizontal="center" vertical="center"/>
      <protection locked="0"/>
    </xf>
    <xf numFmtId="3" fontId="5" fillId="4" borderId="1" xfId="0" applyNumberFormat="1" applyFont="1" applyFill="1" applyBorder="1" applyAlignment="1">
      <alignment horizontal="center" vertical="center"/>
    </xf>
    <xf numFmtId="0" fontId="5" fillId="3" borderId="0" xfId="0" applyFont="1" applyFill="1" applyAlignment="1" applyProtection="1">
      <alignment horizontal="center" vertical="center"/>
      <protection locked="0"/>
    </xf>
    <xf numFmtId="37" fontId="4" fillId="3" borderId="1" xfId="0" applyNumberFormat="1" applyFont="1" applyFill="1" applyBorder="1" applyAlignment="1">
      <alignment horizontal="center" vertical="center"/>
    </xf>
    <xf numFmtId="0" fontId="5" fillId="7" borderId="1" xfId="0" applyFont="1" applyFill="1" applyBorder="1" applyAlignment="1" applyProtection="1">
      <alignment horizontal="center" vertical="center"/>
      <protection locked="0"/>
    </xf>
    <xf numFmtId="0" fontId="5" fillId="3" borderId="4" xfId="0" applyFont="1" applyFill="1" applyBorder="1" applyAlignment="1">
      <alignment horizontal="centerContinuous" vertical="center"/>
    </xf>
    <xf numFmtId="37" fontId="5" fillId="4" borderId="10" xfId="0" applyNumberFormat="1" applyFont="1" applyFill="1" applyBorder="1" applyAlignment="1">
      <alignment horizontal="center" vertical="center"/>
    </xf>
    <xf numFmtId="37" fontId="5" fillId="3" borderId="4" xfId="0" applyNumberFormat="1" applyFont="1" applyFill="1" applyBorder="1" applyAlignment="1">
      <alignment vertical="center"/>
    </xf>
    <xf numFmtId="0" fontId="5" fillId="7" borderId="1" xfId="0" applyFont="1" applyFill="1" applyBorder="1" applyAlignment="1" applyProtection="1">
      <alignment horizontal="left" vertical="center"/>
      <protection locked="0"/>
    </xf>
    <xf numFmtId="0" fontId="5" fillId="3" borderId="18" xfId="0" applyFont="1" applyFill="1" applyBorder="1" applyAlignment="1">
      <alignment horizontal="left" vertical="center"/>
    </xf>
    <xf numFmtId="37" fontId="5" fillId="3" borderId="19" xfId="0" applyNumberFormat="1" applyFont="1" applyFill="1" applyBorder="1" applyAlignment="1">
      <alignment horizontal="center" vertical="center"/>
    </xf>
    <xf numFmtId="0" fontId="5" fillId="3" borderId="20" xfId="0" applyFont="1" applyFill="1" applyBorder="1" applyAlignment="1">
      <alignment horizontal="center" vertical="center"/>
    </xf>
    <xf numFmtId="37" fontId="5" fillId="3" borderId="18" xfId="0" applyNumberFormat="1" applyFont="1" applyFill="1" applyBorder="1" applyAlignment="1">
      <alignment vertical="center"/>
    </xf>
    <xf numFmtId="0" fontId="5" fillId="7" borderId="18" xfId="0" applyFont="1" applyFill="1" applyBorder="1" applyAlignment="1" applyProtection="1">
      <alignment horizontal="left" vertical="center"/>
      <protection locked="0"/>
    </xf>
    <xf numFmtId="37" fontId="5" fillId="7" borderId="18" xfId="0" applyNumberFormat="1" applyFont="1" applyFill="1" applyBorder="1" applyAlignment="1" applyProtection="1">
      <alignment vertical="center"/>
      <protection locked="0"/>
    </xf>
    <xf numFmtId="0" fontId="5" fillId="7" borderId="18" xfId="0" applyFont="1" applyFill="1" applyBorder="1" applyAlignment="1" applyProtection="1">
      <alignment vertical="center"/>
      <protection locked="0"/>
    </xf>
    <xf numFmtId="37" fontId="4" fillId="4" borderId="18" xfId="0" applyNumberFormat="1" applyFont="1" applyFill="1" applyBorder="1" applyAlignment="1">
      <alignment vertical="center"/>
    </xf>
    <xf numFmtId="0" fontId="5" fillId="3" borderId="18" xfId="0" applyFont="1" applyFill="1" applyBorder="1" applyAlignment="1">
      <alignment vertical="center"/>
    </xf>
    <xf numFmtId="37" fontId="5" fillId="4" borderId="18" xfId="0" applyNumberFormat="1" applyFont="1" applyFill="1" applyBorder="1" applyAlignment="1">
      <alignment vertical="center"/>
    </xf>
    <xf numFmtId="37" fontId="4" fillId="4" borderId="21" xfId="0" applyNumberFormat="1" applyFont="1" applyFill="1" applyBorder="1" applyAlignment="1">
      <alignment vertical="center"/>
    </xf>
    <xf numFmtId="3" fontId="5" fillId="4" borderId="1" xfId="469" applyNumberFormat="1" applyFont="1" applyFill="1" applyBorder="1" applyAlignment="1">
      <alignment vertical="center"/>
    </xf>
    <xf numFmtId="0" fontId="24" fillId="0" borderId="0" xfId="485"/>
    <xf numFmtId="0" fontId="5" fillId="0" borderId="0" xfId="485" applyFont="1" applyAlignment="1">
      <alignment horizontal="left" vertical="center"/>
    </xf>
    <xf numFmtId="0" fontId="37" fillId="3" borderId="0" xfId="0" applyFont="1" applyFill="1" applyAlignment="1" applyProtection="1">
      <alignment horizontal="right" vertical="center"/>
      <protection locked="0"/>
    </xf>
    <xf numFmtId="0" fontId="7" fillId="3" borderId="0" xfId="0" applyFont="1" applyFill="1" applyAlignment="1" applyProtection="1">
      <alignment horizontal="left" vertical="center"/>
      <protection locked="0"/>
    </xf>
    <xf numFmtId="3" fontId="11" fillId="4" borderId="9" xfId="0" applyNumberFormat="1" applyFont="1" applyFill="1" applyBorder="1" applyAlignment="1">
      <alignment horizontal="center" vertical="center"/>
    </xf>
    <xf numFmtId="3" fontId="5" fillId="4" borderId="2" xfId="469" applyNumberFormat="1" applyFont="1" applyFill="1" applyBorder="1" applyAlignment="1">
      <alignment vertical="center"/>
    </xf>
    <xf numFmtId="3" fontId="5" fillId="2" borderId="2" xfId="0" applyNumberFormat="1" applyFont="1" applyFill="1" applyBorder="1" applyAlignment="1" applyProtection="1">
      <alignment horizontal="right" vertical="center"/>
      <protection locked="0"/>
    </xf>
    <xf numFmtId="3" fontId="4" fillId="4" borderId="2" xfId="0" applyNumberFormat="1" applyFont="1" applyFill="1" applyBorder="1" applyAlignment="1">
      <alignment horizontal="right" vertical="center"/>
    </xf>
    <xf numFmtId="3" fontId="5" fillId="4" borderId="2" xfId="0" applyNumberFormat="1" applyFont="1" applyFill="1" applyBorder="1" applyAlignment="1">
      <alignment horizontal="right" vertical="center"/>
    </xf>
    <xf numFmtId="3" fontId="5" fillId="3" borderId="2" xfId="0" applyNumberFormat="1" applyFont="1" applyFill="1" applyBorder="1" applyAlignment="1">
      <alignment horizontal="right" vertical="center"/>
    </xf>
    <xf numFmtId="3" fontId="5" fillId="3" borderId="2" xfId="1" applyNumberFormat="1" applyFont="1" applyFill="1" applyBorder="1" applyAlignment="1" applyProtection="1">
      <alignment horizontal="right" vertical="center"/>
    </xf>
    <xf numFmtId="0" fontId="27" fillId="0" borderId="0" xfId="14" applyFont="1" applyAlignment="1" applyProtection="1"/>
    <xf numFmtId="171" fontId="5" fillId="3" borderId="9" xfId="0" applyNumberFormat="1" applyFont="1" applyFill="1" applyBorder="1" applyAlignment="1">
      <alignment vertical="center"/>
    </xf>
    <xf numFmtId="0" fontId="8" fillId="6" borderId="8" xfId="0" applyFont="1" applyFill="1" applyBorder="1" applyAlignment="1">
      <alignment vertical="center" shrinkToFit="1"/>
    </xf>
    <xf numFmtId="0" fontId="5" fillId="4" borderId="2" xfId="0" applyFont="1" applyFill="1" applyBorder="1" applyAlignment="1">
      <alignment vertical="center"/>
    </xf>
    <xf numFmtId="0" fontId="5" fillId="7" borderId="4" xfId="0" applyFont="1" applyFill="1" applyBorder="1" applyAlignment="1" applyProtection="1">
      <alignment vertical="center"/>
      <protection locked="0"/>
    </xf>
    <xf numFmtId="0" fontId="5" fillId="7" borderId="7" xfId="0" applyFont="1" applyFill="1" applyBorder="1" applyAlignment="1" applyProtection="1">
      <alignment vertical="center"/>
      <protection locked="0"/>
    </xf>
    <xf numFmtId="3" fontId="5" fillId="10" borderId="2" xfId="0" applyNumberFormat="1" applyFont="1" applyFill="1" applyBorder="1" applyAlignment="1">
      <alignment vertical="center"/>
    </xf>
    <xf numFmtId="37" fontId="5" fillId="3" borderId="22" xfId="0" applyNumberFormat="1" applyFont="1" applyFill="1" applyBorder="1" applyAlignment="1">
      <alignment vertical="center"/>
    </xf>
    <xf numFmtId="0" fontId="5" fillId="3" borderId="22" xfId="0" applyFont="1" applyFill="1" applyBorder="1" applyAlignment="1">
      <alignment vertical="center"/>
    </xf>
    <xf numFmtId="37" fontId="4" fillId="3" borderId="0" xfId="0" applyNumberFormat="1" applyFont="1" applyFill="1" applyAlignment="1">
      <alignment vertical="center"/>
    </xf>
    <xf numFmtId="172" fontId="5" fillId="13" borderId="15" xfId="59" applyNumberFormat="1" applyFont="1" applyFill="1" applyBorder="1" applyAlignment="1" applyProtection="1">
      <alignment horizontal="center"/>
      <protection locked="0"/>
    </xf>
    <xf numFmtId="173" fontId="5" fillId="12" borderId="12" xfId="59" applyNumberFormat="1" applyFont="1" applyFill="1" applyBorder="1" applyAlignment="1">
      <alignment horizontal="center"/>
    </xf>
    <xf numFmtId="0" fontId="5" fillId="0" borderId="0" xfId="59" applyFont="1"/>
    <xf numFmtId="0" fontId="5" fillId="14" borderId="4" xfId="59" applyFont="1" applyFill="1" applyBorder="1"/>
    <xf numFmtId="0" fontId="5" fillId="14" borderId="6" xfId="59" applyFont="1" applyFill="1" applyBorder="1"/>
    <xf numFmtId="0" fontId="5" fillId="14" borderId="0" xfId="59" applyFont="1" applyFill="1"/>
    <xf numFmtId="0" fontId="5" fillId="14" borderId="3" xfId="59" applyFont="1" applyFill="1" applyBorder="1"/>
    <xf numFmtId="170" fontId="5" fillId="12" borderId="15" xfId="59" applyNumberFormat="1" applyFont="1" applyFill="1" applyBorder="1" applyAlignment="1">
      <alignment horizontal="center"/>
    </xf>
    <xf numFmtId="0" fontId="5" fillId="12" borderId="15" xfId="59" applyFont="1" applyFill="1" applyBorder="1"/>
    <xf numFmtId="0" fontId="5" fillId="12" borderId="3" xfId="59" applyFont="1" applyFill="1" applyBorder="1"/>
    <xf numFmtId="173" fontId="5" fillId="14" borderId="12" xfId="59" applyNumberFormat="1" applyFont="1" applyFill="1" applyBorder="1" applyAlignment="1">
      <alignment horizontal="center"/>
    </xf>
    <xf numFmtId="0" fontId="5" fillId="12" borderId="4" xfId="59" applyFont="1" applyFill="1" applyBorder="1"/>
    <xf numFmtId="0" fontId="5" fillId="12" borderId="6" xfId="59" applyFont="1" applyFill="1" applyBorder="1"/>
    <xf numFmtId="173" fontId="5" fillId="12" borderId="15" xfId="59" applyNumberFormat="1" applyFont="1" applyFill="1" applyBorder="1" applyAlignment="1">
      <alignment horizontal="center"/>
    </xf>
    <xf numFmtId="0" fontId="5" fillId="12" borderId="0" xfId="59" applyFont="1" applyFill="1"/>
    <xf numFmtId="0" fontId="28" fillId="12" borderId="3" xfId="59" applyFont="1" applyFill="1" applyBorder="1"/>
    <xf numFmtId="173" fontId="31" fillId="14" borderId="12" xfId="59" applyNumberFormat="1" applyFont="1" applyFill="1" applyBorder="1" applyAlignment="1" applyProtection="1">
      <alignment horizontal="center" vertical="center"/>
      <protection locked="0"/>
    </xf>
    <xf numFmtId="172" fontId="28" fillId="12" borderId="5" xfId="59" applyNumberFormat="1" applyFont="1" applyFill="1" applyBorder="1" applyAlignment="1" applyProtection="1">
      <alignment horizontal="center" vertical="center"/>
      <protection locked="0"/>
    </xf>
    <xf numFmtId="0" fontId="28" fillId="12" borderId="0" xfId="59" applyFont="1" applyFill="1" applyAlignment="1" applyProtection="1">
      <alignment vertical="center"/>
      <protection locked="0"/>
    </xf>
    <xf numFmtId="0" fontId="5" fillId="12" borderId="0" xfId="59" applyFont="1" applyFill="1" applyAlignment="1" applyProtection="1">
      <alignment vertical="center"/>
      <protection locked="0"/>
    </xf>
    <xf numFmtId="0" fontId="28" fillId="12" borderId="3" xfId="59" applyFont="1" applyFill="1" applyBorder="1" applyAlignment="1">
      <alignment vertical="center"/>
    </xf>
    <xf numFmtId="173" fontId="28" fillId="13" borderId="1" xfId="59" applyNumberFormat="1" applyFont="1" applyFill="1" applyBorder="1" applyAlignment="1" applyProtection="1">
      <alignment horizontal="center" vertical="center"/>
      <protection locked="0"/>
    </xf>
    <xf numFmtId="0" fontId="28" fillId="12" borderId="3" xfId="59" applyFont="1" applyFill="1" applyBorder="1" applyAlignment="1">
      <alignment horizontal="left" vertical="center"/>
    </xf>
    <xf numFmtId="0" fontId="5" fillId="14" borderId="12" xfId="59" applyFont="1" applyFill="1" applyBorder="1" applyAlignment="1">
      <alignment vertical="center"/>
    </xf>
    <xf numFmtId="0" fontId="28" fillId="14" borderId="12" xfId="59" applyFont="1" applyFill="1" applyBorder="1" applyAlignment="1">
      <alignment vertical="center"/>
    </xf>
    <xf numFmtId="0" fontId="31" fillId="14" borderId="4" xfId="59" applyFont="1" applyFill="1" applyBorder="1" applyAlignment="1">
      <alignment vertical="center"/>
    </xf>
    <xf numFmtId="173" fontId="31" fillId="14" borderId="6" xfId="59" applyNumberFormat="1" applyFont="1" applyFill="1" applyBorder="1" applyAlignment="1">
      <alignment horizontal="center" vertical="center"/>
    </xf>
    <xf numFmtId="173" fontId="28" fillId="12" borderId="3" xfId="59" applyNumberFormat="1" applyFont="1" applyFill="1" applyBorder="1" applyAlignment="1">
      <alignment vertical="center"/>
    </xf>
    <xf numFmtId="173" fontId="28" fillId="12" borderId="6" xfId="59" applyNumberFormat="1" applyFont="1" applyFill="1" applyBorder="1" applyAlignment="1">
      <alignment horizontal="center" vertical="center"/>
    </xf>
    <xf numFmtId="0" fontId="28" fillId="12" borderId="0" xfId="59" applyFont="1" applyFill="1" applyAlignment="1">
      <alignment vertical="center"/>
    </xf>
    <xf numFmtId="0" fontId="28" fillId="12" borderId="15" xfId="59" applyFont="1" applyFill="1" applyBorder="1" applyAlignment="1">
      <alignment vertical="center"/>
    </xf>
    <xf numFmtId="0" fontId="28" fillId="12" borderId="0" xfId="59" applyFont="1" applyFill="1" applyAlignment="1">
      <alignment horizontal="left" vertical="center"/>
    </xf>
    <xf numFmtId="173" fontId="28" fillId="12" borderId="3" xfId="59" applyNumberFormat="1" applyFont="1" applyFill="1" applyBorder="1" applyAlignment="1">
      <alignment horizontal="center" vertical="center"/>
    </xf>
    <xf numFmtId="0" fontId="5" fillId="12" borderId="15" xfId="59" applyFont="1" applyFill="1" applyBorder="1" applyAlignment="1">
      <alignment vertical="center"/>
    </xf>
    <xf numFmtId="0" fontId="5" fillId="12" borderId="0" xfId="59" applyFont="1" applyFill="1" applyAlignment="1">
      <alignment vertical="center"/>
    </xf>
    <xf numFmtId="37" fontId="4" fillId="3" borderId="0" xfId="0" applyNumberFormat="1" applyFont="1" applyFill="1"/>
    <xf numFmtId="0" fontId="38" fillId="3" borderId="0" xfId="0" applyFont="1" applyFill="1" applyAlignment="1">
      <alignment horizontal="center" vertical="center"/>
    </xf>
    <xf numFmtId="37" fontId="15" fillId="5" borderId="1" xfId="0" applyNumberFormat="1" applyFont="1" applyFill="1" applyBorder="1" applyAlignment="1">
      <alignment horizontal="center"/>
    </xf>
    <xf numFmtId="0" fontId="5" fillId="12" borderId="3" xfId="59" applyFont="1" applyFill="1" applyBorder="1" applyAlignment="1">
      <alignment vertical="center"/>
    </xf>
    <xf numFmtId="37" fontId="5" fillId="3" borderId="8" xfId="27" applyNumberFormat="1" applyFont="1" applyFill="1" applyBorder="1" applyAlignment="1">
      <alignment horizontal="center"/>
    </xf>
    <xf numFmtId="37" fontId="5" fillId="3" borderId="9" xfId="27" applyNumberFormat="1" applyFont="1" applyFill="1" applyBorder="1" applyAlignment="1">
      <alignment horizontal="center"/>
    </xf>
    <xf numFmtId="37" fontId="5" fillId="3" borderId="14" xfId="27" applyNumberFormat="1" applyFont="1" applyFill="1" applyBorder="1" applyAlignment="1">
      <alignment horizontal="center" vertical="center"/>
    </xf>
    <xf numFmtId="37" fontId="5" fillId="3" borderId="9" xfId="27" applyNumberFormat="1" applyFont="1" applyFill="1" applyBorder="1" applyAlignment="1">
      <alignment horizontal="center" vertical="center"/>
    </xf>
    <xf numFmtId="0" fontId="5" fillId="0" borderId="0" xfId="63" applyFont="1" applyAlignment="1">
      <alignment vertical="center" wrapText="1"/>
    </xf>
    <xf numFmtId="173" fontId="5" fillId="14" borderId="15" xfId="59" applyNumberFormat="1" applyFont="1" applyFill="1" applyBorder="1" applyAlignment="1">
      <alignment horizontal="center"/>
    </xf>
    <xf numFmtId="0" fontId="5" fillId="14" borderId="6" xfId="0" applyFont="1" applyFill="1" applyBorder="1" applyAlignment="1">
      <alignment vertical="center"/>
    </xf>
    <xf numFmtId="0" fontId="5" fillId="14" borderId="4" xfId="0" applyFont="1" applyFill="1" applyBorder="1" applyAlignment="1">
      <alignment vertical="center"/>
    </xf>
    <xf numFmtId="173" fontId="5" fillId="14" borderId="12" xfId="0" applyNumberFormat="1" applyFont="1" applyFill="1" applyBorder="1" applyAlignment="1">
      <alignment horizontal="center" vertical="center"/>
    </xf>
    <xf numFmtId="0" fontId="4" fillId="3" borderId="0" xfId="28" applyFont="1" applyFill="1" applyAlignment="1">
      <alignment vertical="center"/>
    </xf>
    <xf numFmtId="3" fontId="15" fillId="10" borderId="2" xfId="0" applyNumberFormat="1" applyFont="1" applyFill="1" applyBorder="1" applyAlignment="1">
      <alignment horizontal="center" vertical="center"/>
    </xf>
    <xf numFmtId="3" fontId="15" fillId="10" borderId="1" xfId="0" applyNumberFormat="1" applyFont="1" applyFill="1" applyBorder="1" applyAlignment="1">
      <alignment horizontal="center" vertical="center"/>
    </xf>
    <xf numFmtId="3" fontId="4" fillId="4" borderId="6" xfId="0" applyNumberFormat="1" applyFont="1" applyFill="1" applyBorder="1" applyAlignment="1">
      <alignment horizontal="right" vertical="center"/>
    </xf>
    <xf numFmtId="0" fontId="28" fillId="12" borderId="3" xfId="0" applyFont="1" applyFill="1" applyBorder="1" applyAlignment="1">
      <alignment vertical="center"/>
    </xf>
    <xf numFmtId="0" fontId="5" fillId="12" borderId="0" xfId="0" applyFont="1" applyFill="1" applyAlignment="1">
      <alignment vertical="center"/>
    </xf>
    <xf numFmtId="0" fontId="28" fillId="12" borderId="0" xfId="0" applyFont="1" applyFill="1" applyAlignment="1">
      <alignment vertical="center"/>
    </xf>
    <xf numFmtId="173" fontId="28" fillId="12" borderId="15" xfId="0" applyNumberFormat="1" applyFont="1" applyFill="1" applyBorder="1" applyAlignment="1">
      <alignment horizontal="center" vertical="center"/>
    </xf>
    <xf numFmtId="0" fontId="28" fillId="12" borderId="3" xfId="0" applyFont="1" applyFill="1" applyBorder="1" applyAlignment="1">
      <alignment horizontal="left" vertical="center"/>
    </xf>
    <xf numFmtId="173" fontId="28" fillId="13" borderId="1" xfId="0" applyNumberFormat="1" applyFont="1" applyFill="1" applyBorder="1" applyAlignment="1" applyProtection="1">
      <alignment horizontal="center" vertical="center"/>
      <protection locked="0"/>
    </xf>
    <xf numFmtId="172" fontId="31" fillId="12" borderId="5" xfId="30" applyNumberFormat="1" applyFont="1" applyFill="1" applyBorder="1" applyAlignment="1">
      <alignment horizontal="center" vertical="center"/>
    </xf>
    <xf numFmtId="0" fontId="31" fillId="14" borderId="3" xfId="0" applyFont="1" applyFill="1" applyBorder="1" applyAlignment="1">
      <alignment vertical="center"/>
    </xf>
    <xf numFmtId="0" fontId="5" fillId="14" borderId="0" xfId="0" applyFont="1" applyFill="1" applyAlignment="1">
      <alignment vertical="center"/>
    </xf>
    <xf numFmtId="0" fontId="28" fillId="14" borderId="0" xfId="0" applyFont="1" applyFill="1" applyAlignment="1">
      <alignment vertical="center"/>
    </xf>
    <xf numFmtId="173" fontId="31" fillId="14" borderId="5" xfId="0" applyNumberFormat="1" applyFont="1" applyFill="1" applyBorder="1" applyAlignment="1">
      <alignment horizontal="center" vertical="center"/>
    </xf>
    <xf numFmtId="37" fontId="28" fillId="3" borderId="6" xfId="0" applyNumberFormat="1" applyFont="1" applyFill="1" applyBorder="1" applyAlignment="1">
      <alignment horizontal="left" vertical="center"/>
    </xf>
    <xf numFmtId="0" fontId="32" fillId="12" borderId="4" xfId="0" applyFont="1" applyFill="1" applyBorder="1" applyAlignment="1">
      <alignment horizontal="left" vertical="center"/>
    </xf>
    <xf numFmtId="173" fontId="31" fillId="14" borderId="12" xfId="0" applyNumberFormat="1" applyFont="1" applyFill="1" applyBorder="1" applyAlignment="1" applyProtection="1">
      <alignment horizontal="center" vertical="center"/>
      <protection locked="0"/>
    </xf>
    <xf numFmtId="3" fontId="5" fillId="4" borderId="1" xfId="0" applyNumberFormat="1" applyFont="1" applyFill="1" applyBorder="1" applyAlignment="1">
      <alignment horizontal="right" vertical="center"/>
    </xf>
    <xf numFmtId="0" fontId="5" fillId="12" borderId="3" xfId="58" applyFont="1" applyFill="1" applyBorder="1" applyAlignment="1">
      <alignment vertical="center"/>
    </xf>
    <xf numFmtId="0" fontId="5" fillId="12" borderId="0" xfId="58" applyFont="1" applyFill="1" applyAlignment="1">
      <alignment vertical="center"/>
    </xf>
    <xf numFmtId="0" fontId="5" fillId="3" borderId="15" xfId="14" applyNumberFormat="1" applyFont="1" applyFill="1" applyBorder="1" applyAlignment="1" applyProtection="1">
      <alignment horizontal="right" vertical="center"/>
    </xf>
    <xf numFmtId="0" fontId="5" fillId="12" borderId="15" xfId="58" applyFont="1" applyFill="1" applyBorder="1" applyAlignment="1">
      <alignment vertical="center"/>
    </xf>
    <xf numFmtId="0" fontId="11" fillId="12" borderId="0" xfId="58" applyFont="1" applyFill="1" applyAlignment="1">
      <alignment vertical="center"/>
    </xf>
    <xf numFmtId="0" fontId="39" fillId="0" borderId="0" xfId="0" applyFont="1" applyAlignment="1" applyProtection="1">
      <alignment vertical="center"/>
      <protection locked="0"/>
    </xf>
    <xf numFmtId="175" fontId="5" fillId="3" borderId="0" xfId="0" applyNumberFormat="1" applyFont="1" applyFill="1" applyAlignment="1">
      <alignment horizontal="center" vertical="center"/>
    </xf>
    <xf numFmtId="0" fontId="5" fillId="14" borderId="12" xfId="58" applyFont="1" applyFill="1" applyBorder="1" applyAlignment="1">
      <alignment vertical="center"/>
    </xf>
    <xf numFmtId="0" fontId="5" fillId="14" borderId="12" xfId="0" applyFont="1" applyFill="1" applyBorder="1" applyAlignment="1" applyProtection="1">
      <alignment vertical="center"/>
      <protection locked="0"/>
    </xf>
    <xf numFmtId="3" fontId="5" fillId="5" borderId="10" xfId="0" applyNumberFormat="1" applyFont="1" applyFill="1" applyBorder="1" applyAlignment="1">
      <alignment vertical="center"/>
    </xf>
    <xf numFmtId="0" fontId="28" fillId="12" borderId="0" xfId="0" applyFont="1" applyFill="1" applyAlignment="1">
      <alignment horizontal="left" vertical="center"/>
    </xf>
    <xf numFmtId="0" fontId="30" fillId="12" borderId="0" xfId="0" applyFont="1" applyFill="1" applyAlignment="1">
      <alignment horizontal="center" vertical="center"/>
    </xf>
    <xf numFmtId="0" fontId="0" fillId="12" borderId="15" xfId="0" applyFill="1" applyBorder="1" applyAlignment="1">
      <alignment vertical="center"/>
    </xf>
    <xf numFmtId="172" fontId="28" fillId="14" borderId="6" xfId="0" applyNumberFormat="1" applyFont="1" applyFill="1" applyBorder="1" applyAlignment="1">
      <alignment horizontal="center" vertical="center"/>
    </xf>
    <xf numFmtId="37" fontId="4" fillId="3" borderId="4" xfId="0" applyNumberFormat="1" applyFont="1" applyFill="1" applyBorder="1" applyAlignment="1">
      <alignment vertical="center"/>
    </xf>
    <xf numFmtId="172" fontId="28" fillId="12" borderId="2" xfId="0" applyNumberFormat="1" applyFont="1" applyFill="1" applyBorder="1" applyAlignment="1">
      <alignment horizontal="center" vertical="center"/>
    </xf>
    <xf numFmtId="172" fontId="31" fillId="12" borderId="5" xfId="0" applyNumberFormat="1" applyFont="1" applyFill="1" applyBorder="1" applyAlignment="1">
      <alignment horizontal="center" vertical="center"/>
    </xf>
    <xf numFmtId="0" fontId="5" fillId="12" borderId="3" xfId="0" applyFont="1" applyFill="1" applyBorder="1" applyAlignment="1">
      <alignment vertical="center"/>
    </xf>
    <xf numFmtId="0" fontId="5" fillId="12" borderId="15" xfId="0" applyFont="1" applyFill="1" applyBorder="1" applyAlignment="1">
      <alignment vertical="center"/>
    </xf>
    <xf numFmtId="37" fontId="4" fillId="4" borderId="2" xfId="0" applyNumberFormat="1" applyFont="1" applyFill="1" applyBorder="1" applyAlignment="1">
      <alignment horizontal="left" vertical="center"/>
    </xf>
    <xf numFmtId="173" fontId="28" fillId="12" borderId="3" xfId="0" applyNumberFormat="1" applyFont="1" applyFill="1" applyBorder="1" applyAlignment="1">
      <alignment horizontal="center" vertical="center"/>
    </xf>
    <xf numFmtId="0" fontId="28" fillId="12" borderId="15" xfId="0" applyFont="1" applyFill="1" applyBorder="1" applyAlignment="1">
      <alignment vertical="center"/>
    </xf>
    <xf numFmtId="173" fontId="28" fillId="12" borderId="6" xfId="0" applyNumberFormat="1" applyFont="1" applyFill="1" applyBorder="1" applyAlignment="1">
      <alignment horizontal="center" vertical="center"/>
    </xf>
    <xf numFmtId="173" fontId="11" fillId="12" borderId="3" xfId="0" applyNumberFormat="1" applyFont="1" applyFill="1" applyBorder="1" applyAlignment="1">
      <alignment horizontal="center" vertical="center"/>
    </xf>
    <xf numFmtId="173" fontId="11" fillId="12" borderId="3" xfId="0" applyNumberFormat="1" applyFont="1" applyFill="1" applyBorder="1" applyAlignment="1">
      <alignment vertical="center"/>
    </xf>
    <xf numFmtId="0" fontId="11" fillId="12" borderId="0" xfId="0" applyFont="1" applyFill="1" applyAlignment="1">
      <alignment vertical="center"/>
    </xf>
    <xf numFmtId="173" fontId="11" fillId="12" borderId="6" xfId="0" applyNumberFormat="1" applyFont="1" applyFill="1" applyBorder="1" applyAlignment="1">
      <alignment horizontal="center" vertical="center"/>
    </xf>
    <xf numFmtId="173" fontId="11" fillId="14" borderId="6" xfId="0" applyNumberFormat="1" applyFont="1" applyFill="1" applyBorder="1" applyAlignment="1">
      <alignment horizontal="center" vertical="center"/>
    </xf>
    <xf numFmtId="0" fontId="11" fillId="14" borderId="4" xfId="0" applyFont="1" applyFill="1" applyBorder="1" applyAlignment="1">
      <alignment vertical="center"/>
    </xf>
    <xf numFmtId="0" fontId="5" fillId="14" borderId="12" xfId="0" applyFont="1" applyFill="1" applyBorder="1" applyAlignment="1">
      <alignment vertical="center"/>
    </xf>
    <xf numFmtId="0" fontId="5" fillId="14" borderId="12" xfId="0" applyFont="1" applyFill="1" applyBorder="1" applyProtection="1">
      <protection locked="0"/>
    </xf>
    <xf numFmtId="3" fontId="5" fillId="10" borderId="10" xfId="0" applyNumberFormat="1" applyFont="1" applyFill="1" applyBorder="1" applyAlignment="1">
      <alignment vertical="center"/>
    </xf>
    <xf numFmtId="0" fontId="5" fillId="3" borderId="12" xfId="0" applyFont="1" applyFill="1" applyBorder="1" applyAlignment="1">
      <alignment horizontal="center" vertical="center"/>
    </xf>
    <xf numFmtId="0" fontId="4" fillId="3" borderId="0" xfId="0" applyFont="1" applyFill="1" applyAlignment="1">
      <alignment horizontal="right" vertical="center"/>
    </xf>
    <xf numFmtId="0" fontId="5" fillId="12" borderId="0" xfId="39" applyFont="1" applyFill="1"/>
    <xf numFmtId="0" fontId="3" fillId="0" borderId="0" xfId="39"/>
    <xf numFmtId="0" fontId="5" fillId="12" borderId="0" xfId="39" applyFont="1" applyFill="1" applyAlignment="1">
      <alignment vertical="center"/>
    </xf>
    <xf numFmtId="37" fontId="5" fillId="12" borderId="0" xfId="39" applyNumberFormat="1" applyFont="1" applyFill="1" applyAlignment="1">
      <alignment vertical="center"/>
    </xf>
    <xf numFmtId="0" fontId="5" fillId="12" borderId="4" xfId="39" applyFont="1" applyFill="1" applyBorder="1" applyAlignment="1">
      <alignment vertical="center"/>
    </xf>
    <xf numFmtId="0" fontId="5" fillId="12" borderId="0" xfId="39" applyFont="1" applyFill="1" applyAlignment="1">
      <alignment horizontal="center" vertical="center"/>
    </xf>
    <xf numFmtId="0" fontId="6" fillId="12" borderId="0" xfId="39" applyFont="1" applyFill="1" applyAlignment="1">
      <alignment horizontal="center" vertical="center"/>
    </xf>
    <xf numFmtId="173" fontId="5" fillId="12" borderId="0" xfId="39" applyNumberFormat="1" applyFont="1" applyFill="1" applyAlignment="1">
      <alignment vertical="center"/>
    </xf>
    <xf numFmtId="173" fontId="5" fillId="12" borderId="13" xfId="39" applyNumberFormat="1" applyFont="1" applyFill="1" applyBorder="1" applyAlignment="1">
      <alignment vertical="center"/>
    </xf>
    <xf numFmtId="6" fontId="5" fillId="12" borderId="0" xfId="39" applyNumberFormat="1" applyFont="1" applyFill="1" applyAlignment="1">
      <alignment horizontal="center" vertical="center"/>
    </xf>
    <xf numFmtId="0" fontId="40" fillId="14" borderId="0" xfId="39" applyFont="1" applyFill="1" applyAlignment="1">
      <alignment vertical="center"/>
    </xf>
    <xf numFmtId="0" fontId="40" fillId="12" borderId="0" xfId="39" applyFont="1" applyFill="1" applyAlignment="1">
      <alignment horizontal="center" vertical="center"/>
    </xf>
    <xf numFmtId="172" fontId="5" fillId="12" borderId="0" xfId="39" applyNumberFormat="1" applyFont="1" applyFill="1" applyAlignment="1">
      <alignment horizontal="center" vertical="center"/>
    </xf>
    <xf numFmtId="176" fontId="40" fillId="12" borderId="0" xfId="39" applyNumberFormat="1" applyFont="1" applyFill="1" applyAlignment="1">
      <alignment horizontal="center" vertical="center"/>
    </xf>
    <xf numFmtId="0" fontId="40" fillId="14" borderId="0" xfId="39" applyFont="1" applyFill="1" applyAlignment="1">
      <alignment horizontal="center" vertical="center"/>
    </xf>
    <xf numFmtId="0" fontId="41" fillId="14" borderId="0" xfId="39" applyFont="1" applyFill="1" applyAlignment="1">
      <alignment horizontal="center" vertical="center"/>
    </xf>
    <xf numFmtId="0" fontId="5" fillId="12" borderId="0" xfId="39" applyFont="1" applyFill="1" applyAlignment="1">
      <alignment horizontal="right" vertical="center"/>
    </xf>
    <xf numFmtId="0" fontId="5" fillId="12" borderId="0" xfId="39" applyFont="1" applyFill="1" applyAlignment="1">
      <alignment horizontal="left" vertical="center"/>
    </xf>
    <xf numFmtId="0" fontId="5" fillId="12" borderId="0" xfId="30" applyFont="1" applyFill="1"/>
    <xf numFmtId="0" fontId="3" fillId="12" borderId="0" xfId="39" applyFill="1"/>
    <xf numFmtId="0" fontId="4" fillId="12" borderId="0" xfId="30" applyFont="1" applyFill="1"/>
    <xf numFmtId="0" fontId="3" fillId="12" borderId="0" xfId="30" applyFill="1"/>
    <xf numFmtId="0" fontId="10" fillId="0" borderId="0" xfId="14" applyAlignment="1" applyProtection="1"/>
    <xf numFmtId="49" fontId="5" fillId="2" borderId="1" xfId="0" applyNumberFormat="1" applyFont="1" applyFill="1" applyBorder="1" applyAlignment="1" applyProtection="1">
      <alignment horizontal="center" vertical="center"/>
      <protection locked="0"/>
    </xf>
    <xf numFmtId="175" fontId="5" fillId="2" borderId="1" xfId="0" applyNumberFormat="1" applyFont="1" applyFill="1" applyBorder="1" applyAlignment="1" applyProtection="1">
      <alignment vertical="center"/>
      <protection locked="0"/>
    </xf>
    <xf numFmtId="170" fontId="5" fillId="3" borderId="5" xfId="0" applyNumberFormat="1" applyFont="1" applyFill="1" applyBorder="1" applyAlignment="1">
      <alignment vertical="center"/>
    </xf>
    <xf numFmtId="37" fontId="5" fillId="3" borderId="19" xfId="0" applyNumberFormat="1" applyFont="1" applyFill="1" applyBorder="1" applyAlignment="1">
      <alignment horizontal="left" vertical="center"/>
    </xf>
    <xf numFmtId="37" fontId="5" fillId="3" borderId="0" xfId="0" applyNumberFormat="1" applyFont="1" applyFill="1" applyAlignment="1" applyProtection="1">
      <alignment horizontal="fill" vertical="center"/>
      <protection locked="0"/>
    </xf>
    <xf numFmtId="0" fontId="31" fillId="14" borderId="3" xfId="59" applyFont="1" applyFill="1" applyBorder="1" applyAlignment="1" applyProtection="1">
      <alignment vertical="center"/>
      <protection locked="0"/>
    </xf>
    <xf numFmtId="0" fontId="5" fillId="14" borderId="0" xfId="59" applyFont="1" applyFill="1" applyAlignment="1" applyProtection="1">
      <alignment vertical="center"/>
      <protection locked="0"/>
    </xf>
    <xf numFmtId="0" fontId="28" fillId="14" borderId="0" xfId="59" applyFont="1" applyFill="1" applyAlignment="1" applyProtection="1">
      <alignment vertical="center"/>
      <protection locked="0"/>
    </xf>
    <xf numFmtId="0" fontId="28" fillId="12" borderId="6" xfId="0" applyFont="1" applyFill="1" applyBorder="1" applyAlignment="1" applyProtection="1">
      <alignment vertical="center"/>
      <protection locked="0"/>
    </xf>
    <xf numFmtId="0" fontId="28" fillId="12" borderId="4" xfId="0" applyFont="1" applyFill="1" applyBorder="1" applyAlignment="1" applyProtection="1">
      <alignment vertical="center"/>
      <protection locked="0"/>
    </xf>
    <xf numFmtId="0" fontId="5" fillId="12" borderId="4" xfId="0" applyFont="1" applyFill="1" applyBorder="1" applyAlignment="1" applyProtection="1">
      <alignment vertical="center"/>
      <protection locked="0"/>
    </xf>
    <xf numFmtId="0" fontId="39" fillId="0" borderId="0" xfId="0" applyFont="1" applyProtection="1">
      <protection locked="0"/>
    </xf>
    <xf numFmtId="0" fontId="33" fillId="0" borderId="0" xfId="0" applyFont="1" applyAlignment="1">
      <alignment vertical="center"/>
    </xf>
    <xf numFmtId="0" fontId="5" fillId="12" borderId="15" xfId="0" applyFont="1" applyFill="1" applyBorder="1" applyProtection="1">
      <protection locked="0"/>
    </xf>
    <xf numFmtId="0" fontId="5" fillId="12" borderId="15" xfId="0" applyFont="1" applyFill="1" applyBorder="1" applyAlignment="1" applyProtection="1">
      <alignment vertical="center"/>
      <protection locked="0"/>
    </xf>
    <xf numFmtId="173" fontId="28" fillId="12" borderId="3" xfId="0" applyNumberFormat="1" applyFont="1" applyFill="1" applyBorder="1" applyAlignment="1">
      <alignment vertical="center"/>
    </xf>
    <xf numFmtId="173" fontId="28" fillId="14" borderId="6" xfId="0" applyNumberFormat="1" applyFont="1" applyFill="1" applyBorder="1" applyAlignment="1">
      <alignment horizontal="center" vertical="center"/>
    </xf>
    <xf numFmtId="0" fontId="28" fillId="14" borderId="4" xfId="0" applyFont="1" applyFill="1" applyBorder="1" applyAlignment="1">
      <alignment vertical="center"/>
    </xf>
    <xf numFmtId="0" fontId="28" fillId="14" borderId="12" xfId="0" applyFont="1" applyFill="1" applyBorder="1" applyAlignment="1">
      <alignment vertical="center"/>
    </xf>
    <xf numFmtId="0" fontId="39" fillId="0" borderId="0" xfId="0" applyFont="1"/>
    <xf numFmtId="0" fontId="34" fillId="0" borderId="0" xfId="0" applyFont="1" applyAlignment="1">
      <alignment vertical="center"/>
    </xf>
    <xf numFmtId="0" fontId="28" fillId="12" borderId="0" xfId="58" applyFont="1" applyFill="1" applyAlignment="1">
      <alignment vertical="center"/>
    </xf>
    <xf numFmtId="0" fontId="28" fillId="14" borderId="4" xfId="58" applyFont="1" applyFill="1" applyBorder="1" applyAlignment="1">
      <alignment vertical="center"/>
    </xf>
    <xf numFmtId="0" fontId="28" fillId="12" borderId="0" xfId="58" applyFont="1" applyFill="1" applyAlignment="1">
      <alignment horizontal="left" vertical="center"/>
    </xf>
    <xf numFmtId="173" fontId="28" fillId="12" borderId="3" xfId="58" applyNumberFormat="1" applyFont="1" applyFill="1" applyBorder="1" applyAlignment="1">
      <alignment horizontal="center" vertical="center"/>
    </xf>
    <xf numFmtId="173" fontId="28" fillId="12" borderId="6" xfId="58" applyNumberFormat="1" applyFont="1" applyFill="1" applyBorder="1" applyAlignment="1">
      <alignment horizontal="center" vertical="center"/>
    </xf>
    <xf numFmtId="173" fontId="28" fillId="12" borderId="3" xfId="58" applyNumberFormat="1" applyFont="1" applyFill="1" applyBorder="1" applyAlignment="1">
      <alignment vertical="center"/>
    </xf>
    <xf numFmtId="173" fontId="28" fillId="14" borderId="6" xfId="58" applyNumberFormat="1" applyFont="1" applyFill="1" applyBorder="1" applyAlignment="1">
      <alignment horizontal="center" vertical="center"/>
    </xf>
    <xf numFmtId="0" fontId="10" fillId="15" borderId="0" xfId="14" applyFill="1" applyAlignment="1" applyProtection="1"/>
    <xf numFmtId="0" fontId="36" fillId="15" borderId="0" xfId="388" applyFill="1"/>
    <xf numFmtId="3" fontId="5" fillId="3" borderId="1" xfId="0" applyNumberFormat="1" applyFont="1" applyFill="1" applyBorder="1" applyAlignment="1">
      <alignment horizontal="right"/>
    </xf>
    <xf numFmtId="0" fontId="5" fillId="3" borderId="0" xfId="0" applyFont="1" applyFill="1" applyAlignment="1">
      <alignment horizontal="left"/>
    </xf>
    <xf numFmtId="3" fontId="5" fillId="3" borderId="8" xfId="0" applyNumberFormat="1" applyFont="1" applyFill="1" applyBorder="1"/>
    <xf numFmtId="37" fontId="13" fillId="3" borderId="13" xfId="0" applyNumberFormat="1" applyFont="1" applyFill="1" applyBorder="1" applyAlignment="1">
      <alignment horizontal="center" vertical="center"/>
    </xf>
    <xf numFmtId="3" fontId="5" fillId="3" borderId="8" xfId="0" applyNumberFormat="1" applyFont="1" applyFill="1" applyBorder="1" applyAlignment="1">
      <alignment vertical="center"/>
    </xf>
    <xf numFmtId="3" fontId="5" fillId="3" borderId="13" xfId="0" applyNumberFormat="1" applyFont="1" applyFill="1" applyBorder="1" applyAlignment="1">
      <alignment vertical="center"/>
    </xf>
    <xf numFmtId="0" fontId="5" fillId="0" borderId="0" xfId="0" applyFont="1" applyAlignment="1">
      <alignment vertical="top" wrapText="1"/>
    </xf>
    <xf numFmtId="37" fontId="5" fillId="9" borderId="8" xfId="0" applyNumberFormat="1" applyFont="1" applyFill="1" applyBorder="1" applyAlignment="1">
      <alignment horizontal="center" vertical="center"/>
    </xf>
    <xf numFmtId="0" fontId="5" fillId="9" borderId="9" xfId="0" applyFont="1" applyFill="1" applyBorder="1" applyAlignment="1">
      <alignment horizontal="center" vertical="center"/>
    </xf>
    <xf numFmtId="37" fontId="4" fillId="11" borderId="2" xfId="0" applyNumberFormat="1" applyFont="1" applyFill="1" applyBorder="1" applyAlignment="1">
      <alignment horizontal="left" vertical="center"/>
    </xf>
    <xf numFmtId="0" fontId="5" fillId="11" borderId="5" xfId="0" applyFont="1" applyFill="1" applyBorder="1" applyAlignment="1">
      <alignment vertical="center"/>
    </xf>
    <xf numFmtId="37" fontId="5" fillId="6" borderId="2" xfId="0" applyNumberFormat="1" applyFont="1" applyFill="1" applyBorder="1" applyAlignment="1">
      <alignment horizontal="left" vertical="center"/>
    </xf>
    <xf numFmtId="0" fontId="5" fillId="6" borderId="5" xfId="0" applyFont="1" applyFill="1" applyBorder="1" applyAlignment="1">
      <alignment vertical="center"/>
    </xf>
    <xf numFmtId="37" fontId="12" fillId="9" borderId="17" xfId="0" applyNumberFormat="1" applyFont="1" applyFill="1" applyBorder="1" applyAlignment="1">
      <alignment horizontal="left" vertical="center"/>
    </xf>
    <xf numFmtId="0" fontId="6" fillId="6" borderId="16" xfId="0" applyFont="1" applyFill="1" applyBorder="1" applyAlignment="1">
      <alignment vertical="center"/>
    </xf>
    <xf numFmtId="0" fontId="5" fillId="9" borderId="3" xfId="0" applyFont="1" applyFill="1" applyBorder="1" applyAlignment="1">
      <alignment vertical="center"/>
    </xf>
    <xf numFmtId="0" fontId="5" fillId="9" borderId="15" xfId="0" applyFont="1" applyFill="1" applyBorder="1" applyAlignment="1">
      <alignment vertical="center"/>
    </xf>
    <xf numFmtId="0" fontId="5" fillId="9" borderId="6" xfId="0" applyFont="1" applyFill="1" applyBorder="1" applyAlignment="1">
      <alignment vertical="center"/>
    </xf>
    <xf numFmtId="0" fontId="5" fillId="9" borderId="12" xfId="0" applyFont="1" applyFill="1" applyBorder="1" applyAlignment="1">
      <alignment vertical="center"/>
    </xf>
    <xf numFmtId="0" fontId="5" fillId="9" borderId="2" xfId="0" applyFont="1" applyFill="1" applyBorder="1" applyAlignment="1">
      <alignment vertical="center"/>
    </xf>
    <xf numFmtId="0" fontId="5" fillId="9" borderId="5" xfId="0" applyFont="1" applyFill="1" applyBorder="1" applyAlignment="1">
      <alignment vertical="center"/>
    </xf>
    <xf numFmtId="0" fontId="4" fillId="9" borderId="17" xfId="0" applyFont="1" applyFill="1" applyBorder="1" applyAlignment="1">
      <alignment vertical="center"/>
    </xf>
    <xf numFmtId="0" fontId="5" fillId="9" borderId="16" xfId="0" applyFont="1" applyFill="1" applyBorder="1" applyAlignment="1">
      <alignment vertical="center"/>
    </xf>
    <xf numFmtId="37" fontId="4" fillId="11" borderId="3" xfId="0" applyNumberFormat="1" applyFont="1" applyFill="1" applyBorder="1" applyAlignment="1">
      <alignment horizontal="left" vertical="center"/>
    </xf>
    <xf numFmtId="0" fontId="5" fillId="11" borderId="15" xfId="0" applyFont="1" applyFill="1" applyBorder="1" applyAlignment="1">
      <alignment vertical="center"/>
    </xf>
    <xf numFmtId="37" fontId="4" fillId="11" borderId="6" xfId="0" applyNumberFormat="1" applyFont="1" applyFill="1" applyBorder="1" applyAlignment="1">
      <alignment horizontal="left" vertical="center"/>
    </xf>
    <xf numFmtId="0" fontId="5" fillId="11" borderId="12" xfId="0" applyFont="1" applyFill="1" applyBorder="1" applyAlignment="1">
      <alignment vertical="center"/>
    </xf>
    <xf numFmtId="170" fontId="5" fillId="7" borderId="1" xfId="0" applyNumberFormat="1" applyFont="1" applyFill="1" applyBorder="1" applyAlignment="1" applyProtection="1">
      <alignment vertical="center"/>
      <protection locked="0"/>
    </xf>
    <xf numFmtId="170" fontId="5" fillId="7" borderId="8" xfId="0" applyNumberFormat="1" applyFont="1" applyFill="1" applyBorder="1" applyAlignment="1" applyProtection="1">
      <alignment vertical="center"/>
      <protection locked="0"/>
    </xf>
    <xf numFmtId="37" fontId="4" fillId="9" borderId="2" xfId="0" applyNumberFormat="1" applyFont="1" applyFill="1" applyBorder="1" applyAlignment="1">
      <alignment horizontal="left" vertical="center"/>
    </xf>
    <xf numFmtId="3" fontId="5" fillId="9" borderId="5" xfId="0" applyNumberFormat="1" applyFont="1" applyFill="1" applyBorder="1" applyAlignment="1">
      <alignment vertical="center"/>
    </xf>
    <xf numFmtId="3" fontId="5" fillId="7" borderId="9" xfId="0" applyNumberFormat="1" applyFont="1" applyFill="1" applyBorder="1" applyAlignment="1" applyProtection="1">
      <alignment vertical="center"/>
      <protection locked="0"/>
    </xf>
    <xf numFmtId="0" fontId="0" fillId="8" borderId="6" xfId="0" applyFill="1" applyBorder="1" applyAlignment="1">
      <alignment vertical="center"/>
    </xf>
    <xf numFmtId="0" fontId="0" fillId="8" borderId="4" xfId="0" applyFill="1" applyBorder="1" applyAlignment="1">
      <alignment vertical="center"/>
    </xf>
    <xf numFmtId="0" fontId="0" fillId="8" borderId="12" xfId="0" applyFill="1" applyBorder="1" applyAlignment="1">
      <alignment vertical="center"/>
    </xf>
    <xf numFmtId="164" fontId="5" fillId="2" borderId="9" xfId="0" applyNumberFormat="1" applyFont="1" applyFill="1" applyBorder="1" applyAlignment="1" applyProtection="1">
      <alignment vertical="center"/>
      <protection locked="0"/>
    </xf>
    <xf numFmtId="164" fontId="5" fillId="3" borderId="7" xfId="0" applyNumberFormat="1" applyFont="1" applyFill="1" applyBorder="1" applyAlignment="1" applyProtection="1">
      <alignment vertical="center"/>
      <protection locked="0"/>
    </xf>
    <xf numFmtId="0" fontId="5" fillId="7" borderId="0" xfId="0" applyFont="1" applyFill="1" applyAlignment="1" applyProtection="1">
      <alignment horizontal="center" vertical="center"/>
      <protection locked="0"/>
    </xf>
    <xf numFmtId="0" fontId="5" fillId="7" borderId="0" xfId="0" applyFont="1" applyFill="1" applyAlignment="1" applyProtection="1">
      <alignment horizontal="center"/>
      <protection locked="0"/>
    </xf>
    <xf numFmtId="37" fontId="4" fillId="3" borderId="0" xfId="27" applyNumberFormat="1" applyFont="1" applyFill="1" applyAlignment="1">
      <alignment horizontal="left" vertical="center"/>
    </xf>
    <xf numFmtId="0" fontId="5" fillId="12" borderId="0" xfId="29" applyFont="1" applyFill="1" applyAlignment="1">
      <alignment vertical="center"/>
    </xf>
    <xf numFmtId="174" fontId="5" fillId="14" borderId="12" xfId="59" applyNumberFormat="1" applyFont="1" applyFill="1" applyBorder="1" applyAlignment="1">
      <alignment horizontal="center"/>
    </xf>
    <xf numFmtId="0" fontId="0" fillId="12" borderId="0" xfId="0" applyFill="1" applyAlignment="1">
      <alignment vertical="center"/>
    </xf>
    <xf numFmtId="165" fontId="5" fillId="12" borderId="4" xfId="0" applyNumberFormat="1" applyFont="1" applyFill="1" applyBorder="1" applyAlignment="1">
      <alignment vertical="center"/>
    </xf>
    <xf numFmtId="165" fontId="5" fillId="12" borderId="0" xfId="0" applyNumberFormat="1" applyFont="1" applyFill="1" applyAlignment="1">
      <alignment vertical="center"/>
    </xf>
    <xf numFmtId="37" fontId="5" fillId="12" borderId="0" xfId="0" applyNumberFormat="1" applyFont="1" applyFill="1" applyAlignment="1">
      <alignment horizontal="left" vertical="center"/>
    </xf>
    <xf numFmtId="37" fontId="5" fillId="3" borderId="9" xfId="29" applyNumberFormat="1" applyFont="1" applyFill="1" applyBorder="1" applyAlignment="1">
      <alignment horizontal="center" vertical="center"/>
    </xf>
    <xf numFmtId="37" fontId="5" fillId="3" borderId="13" xfId="27" applyNumberFormat="1" applyFont="1" applyFill="1" applyBorder="1" applyAlignment="1">
      <alignment horizontal="center" vertical="center"/>
    </xf>
    <xf numFmtId="37" fontId="5" fillId="3" borderId="0" xfId="27" applyNumberFormat="1" applyFont="1" applyFill="1" applyAlignment="1">
      <alignment horizontal="left" vertical="center"/>
    </xf>
    <xf numFmtId="165" fontId="5" fillId="12" borderId="0" xfId="27" applyNumberFormat="1" applyFont="1" applyFill="1" applyAlignment="1">
      <alignment vertical="center"/>
    </xf>
    <xf numFmtId="0" fontId="5" fillId="12" borderId="0" xfId="29" applyFont="1" applyFill="1" applyAlignment="1" applyProtection="1">
      <alignment vertical="center"/>
      <protection locked="0"/>
    </xf>
    <xf numFmtId="0" fontId="5" fillId="12" borderId="0" xfId="27" applyFont="1" applyFill="1" applyAlignment="1">
      <alignment vertical="center"/>
    </xf>
    <xf numFmtId="170" fontId="5" fillId="3" borderId="1" xfId="0" applyNumberFormat="1" applyFont="1" applyFill="1" applyBorder="1" applyAlignment="1">
      <alignment vertical="center"/>
    </xf>
    <xf numFmtId="0" fontId="5" fillId="12" borderId="2" xfId="27" applyFont="1" applyFill="1" applyBorder="1" applyAlignment="1">
      <alignment vertical="center"/>
    </xf>
    <xf numFmtId="0" fontId="5" fillId="3" borderId="16" xfId="0" applyFont="1" applyFill="1" applyBorder="1" applyAlignment="1">
      <alignment vertical="center"/>
    </xf>
    <xf numFmtId="0" fontId="5" fillId="3" borderId="6" xfId="0" applyFont="1" applyFill="1" applyBorder="1" applyAlignment="1">
      <alignment vertical="center"/>
    </xf>
    <xf numFmtId="0" fontId="5" fillId="3" borderId="13" xfId="0" applyFont="1" applyFill="1" applyBorder="1" applyAlignment="1">
      <alignment horizontal="right" vertical="center"/>
    </xf>
    <xf numFmtId="0" fontId="13" fillId="3" borderId="13" xfId="0" applyFont="1" applyFill="1" applyBorder="1" applyAlignment="1">
      <alignment horizontal="center" vertical="center"/>
    </xf>
    <xf numFmtId="0" fontId="5" fillId="3" borderId="16" xfId="0" applyFont="1" applyFill="1" applyBorder="1"/>
    <xf numFmtId="0" fontId="5" fillId="3" borderId="15" xfId="0" applyFont="1" applyFill="1" applyBorder="1"/>
    <xf numFmtId="0" fontId="5" fillId="3" borderId="6" xfId="0" applyFont="1" applyFill="1" applyBorder="1"/>
    <xf numFmtId="0" fontId="5" fillId="3" borderId="4" xfId="0" applyFont="1" applyFill="1" applyBorder="1"/>
    <xf numFmtId="0" fontId="5" fillId="3" borderId="12" xfId="0" applyFont="1" applyFill="1" applyBorder="1"/>
    <xf numFmtId="37" fontId="13" fillId="3" borderId="16" xfId="0" applyNumberFormat="1" applyFont="1" applyFill="1" applyBorder="1" applyAlignment="1">
      <alignment horizontal="center" vertical="center"/>
    </xf>
    <xf numFmtId="0" fontId="5" fillId="3" borderId="3" xfId="0" applyFont="1" applyFill="1" applyBorder="1" applyAlignment="1">
      <alignment horizontal="right"/>
    </xf>
    <xf numFmtId="37" fontId="13" fillId="3" borderId="15" xfId="0" applyNumberFormat="1" applyFont="1" applyFill="1" applyBorder="1" applyAlignment="1">
      <alignment horizontal="center" vertical="center"/>
    </xf>
    <xf numFmtId="0" fontId="5" fillId="3" borderId="6" xfId="0" applyFont="1" applyFill="1" applyBorder="1" applyAlignment="1">
      <alignment horizontal="right"/>
    </xf>
    <xf numFmtId="0" fontId="13" fillId="3" borderId="4" xfId="0" applyFont="1" applyFill="1" applyBorder="1" applyAlignment="1">
      <alignment horizontal="center" vertical="center"/>
    </xf>
    <xf numFmtId="0" fontId="5" fillId="3" borderId="3" xfId="0" applyFont="1" applyFill="1" applyBorder="1" applyAlignment="1">
      <alignment horizontal="right" vertical="center"/>
    </xf>
    <xf numFmtId="0" fontId="5" fillId="3" borderId="6" xfId="0" applyFont="1" applyFill="1" applyBorder="1" applyAlignment="1">
      <alignment horizontal="right" vertical="center"/>
    </xf>
    <xf numFmtId="0" fontId="4" fillId="3" borderId="17" xfId="0" applyFont="1" applyFill="1" applyBorder="1" applyAlignment="1">
      <alignment vertical="center"/>
    </xf>
    <xf numFmtId="0" fontId="4" fillId="3" borderId="17" xfId="0" applyFont="1" applyFill="1" applyBorder="1" applyAlignment="1">
      <alignment horizontal="left"/>
    </xf>
    <xf numFmtId="0" fontId="4" fillId="3" borderId="17" xfId="0" applyFont="1" applyFill="1" applyBorder="1" applyAlignment="1">
      <alignment horizontal="left" vertical="center"/>
    </xf>
    <xf numFmtId="37" fontId="4" fillId="3" borderId="0" xfId="0" applyNumberFormat="1" applyFont="1" applyFill="1" applyAlignment="1">
      <alignment horizontal="fill" vertical="center"/>
    </xf>
    <xf numFmtId="37" fontId="38" fillId="3" borderId="0" xfId="0" applyNumberFormat="1" applyFont="1" applyFill="1" applyAlignment="1">
      <alignment horizontal="center" vertical="center"/>
    </xf>
    <xf numFmtId="0" fontId="5" fillId="3" borderId="3" xfId="0" applyFont="1" applyFill="1" applyBorder="1" applyAlignment="1">
      <alignment vertical="center"/>
    </xf>
    <xf numFmtId="0" fontId="5" fillId="3" borderId="15" xfId="0" applyFont="1" applyFill="1" applyBorder="1" applyAlignment="1">
      <alignment vertical="center"/>
    </xf>
    <xf numFmtId="0" fontId="5" fillId="0" borderId="0" xfId="0" applyFont="1" applyAlignment="1">
      <alignment horizontal="lef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38" fillId="0" borderId="0" xfId="0" applyFont="1" applyAlignment="1">
      <alignment vertical="center" wrapText="1"/>
    </xf>
    <xf numFmtId="0" fontId="42"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left" vertical="center" wrapText="1" indent="2"/>
    </xf>
    <xf numFmtId="0" fontId="5" fillId="0" borderId="0" xfId="0" applyFont="1" applyAlignment="1">
      <alignment horizontal="left" vertical="center" indent="2"/>
    </xf>
    <xf numFmtId="0" fontId="43" fillId="0" borderId="0" xfId="0" applyFont="1" applyAlignment="1">
      <alignment horizontal="left" vertical="center" wrapText="1" indent="4"/>
    </xf>
    <xf numFmtId="0" fontId="12" fillId="0" borderId="0" xfId="0" applyFont="1" applyAlignment="1">
      <alignment vertical="center" wrapText="1"/>
    </xf>
    <xf numFmtId="172" fontId="5" fillId="7" borderId="1" xfId="0" applyNumberFormat="1" applyFont="1" applyFill="1" applyBorder="1" applyAlignment="1" applyProtection="1">
      <alignment horizontal="center" vertical="center"/>
      <protection locked="0"/>
    </xf>
    <xf numFmtId="0" fontId="5" fillId="0" borderId="0" xfId="485" applyFont="1"/>
    <xf numFmtId="0" fontId="5" fillId="0" borderId="0" xfId="485" applyFont="1" applyAlignment="1">
      <alignment horizontal="right"/>
    </xf>
    <xf numFmtId="49" fontId="5" fillId="0" borderId="0" xfId="485" applyNumberFormat="1" applyFont="1" applyAlignment="1" applyProtection="1">
      <alignment horizontal="left" vertical="center"/>
      <protection locked="0"/>
    </xf>
    <xf numFmtId="0" fontId="24" fillId="0" borderId="0" xfId="485" applyAlignment="1">
      <alignment horizontal="left"/>
    </xf>
    <xf numFmtId="0" fontId="24" fillId="0" borderId="0" xfId="485" applyAlignment="1">
      <alignment horizontal="right"/>
    </xf>
    <xf numFmtId="0" fontId="5" fillId="0" borderId="0" xfId="485" applyFont="1" applyAlignment="1">
      <alignment horizontal="right" vertical="center"/>
    </xf>
    <xf numFmtId="0" fontId="18" fillId="0" borderId="0" xfId="485" applyFont="1" applyAlignment="1">
      <alignment horizontal="left" vertical="center"/>
    </xf>
    <xf numFmtId="172" fontId="28" fillId="12" borderId="6" xfId="0" applyNumberFormat="1" applyFont="1" applyFill="1" applyBorder="1" applyAlignment="1">
      <alignment horizontal="center" vertical="center"/>
    </xf>
    <xf numFmtId="172" fontId="31" fillId="12" borderId="6" xfId="0" applyNumberFormat="1" applyFont="1" applyFill="1" applyBorder="1" applyAlignment="1">
      <alignment horizontal="center" vertical="center"/>
    </xf>
    <xf numFmtId="0" fontId="31" fillId="12" borderId="0" xfId="0" applyFont="1" applyFill="1" applyAlignment="1">
      <alignment horizontal="left" vertical="center"/>
    </xf>
    <xf numFmtId="0" fontId="4" fillId="12" borderId="3" xfId="59" applyFont="1" applyFill="1" applyBorder="1"/>
    <xf numFmtId="164" fontId="4" fillId="12" borderId="15" xfId="59" applyNumberFormat="1" applyFont="1" applyFill="1" applyBorder="1" applyAlignment="1">
      <alignment horizontal="center"/>
    </xf>
    <xf numFmtId="164" fontId="18" fillId="3" borderId="12" xfId="0" applyNumberFormat="1" applyFont="1" applyFill="1" applyBorder="1" applyAlignment="1">
      <alignment vertical="center"/>
    </xf>
    <xf numFmtId="37" fontId="5" fillId="3" borderId="10" xfId="0" applyNumberFormat="1" applyFont="1" applyFill="1" applyBorder="1" applyAlignment="1">
      <alignment horizontal="left" vertical="center"/>
    </xf>
    <xf numFmtId="37" fontId="5" fillId="3" borderId="23" xfId="0" applyNumberFormat="1" applyFont="1" applyFill="1" applyBorder="1" applyAlignment="1">
      <alignment vertical="center"/>
    </xf>
    <xf numFmtId="164" fontId="5" fillId="3" borderId="23" xfId="0" applyNumberFormat="1" applyFont="1" applyFill="1" applyBorder="1" applyAlignment="1">
      <alignment vertical="center"/>
    </xf>
    <xf numFmtId="170" fontId="5" fillId="3" borderId="1" xfId="0" applyNumberFormat="1" applyFont="1" applyFill="1" applyBorder="1" applyAlignment="1">
      <alignment horizontal="center" vertical="center"/>
    </xf>
    <xf numFmtId="0" fontId="6" fillId="0" borderId="0" xfId="0" applyFont="1" applyAlignment="1">
      <alignment vertical="center" wrapText="1"/>
    </xf>
    <xf numFmtId="0" fontId="48" fillId="0" borderId="0" xfId="522" applyFont="1"/>
    <xf numFmtId="0" fontId="48" fillId="0" borderId="0" xfId="522" applyFont="1" applyAlignment="1">
      <alignment horizontal="left" wrapText="1"/>
    </xf>
    <xf numFmtId="0" fontId="49" fillId="17" borderId="1" xfId="522" applyFont="1" applyFill="1" applyBorder="1" applyAlignment="1">
      <alignment horizontal="center" vertical="center"/>
    </xf>
    <xf numFmtId="0" fontId="48" fillId="0" borderId="0" xfId="522" applyFont="1" applyAlignment="1">
      <alignment horizontal="right" wrapText="1"/>
    </xf>
    <xf numFmtId="0" fontId="48" fillId="0" borderId="0" xfId="522" applyFont="1" applyAlignment="1">
      <alignment wrapText="1"/>
    </xf>
    <xf numFmtId="0" fontId="51" fillId="0" borderId="0" xfId="0" applyFont="1"/>
    <xf numFmtId="0" fontId="52" fillId="0" borderId="0" xfId="0" applyFont="1"/>
    <xf numFmtId="0" fontId="53" fillId="0" borderId="0" xfId="0" applyFont="1" applyAlignment="1">
      <alignment horizontal="left" vertical="center" readingOrder="1"/>
    </xf>
    <xf numFmtId="0" fontId="54" fillId="0" borderId="0" xfId="0" applyFont="1" applyAlignment="1">
      <alignment horizontal="left" vertical="center" indent="2" readingOrder="1"/>
    </xf>
    <xf numFmtId="0" fontId="54" fillId="0" borderId="4" xfId="0" applyFont="1" applyBorder="1" applyAlignment="1">
      <alignment horizontal="center" vertical="center" readingOrder="1"/>
    </xf>
    <xf numFmtId="0" fontId="55" fillId="0" borderId="0" xfId="0" applyFont="1" applyAlignment="1">
      <alignment horizontal="left" vertical="center" readingOrder="1"/>
    </xf>
    <xf numFmtId="0" fontId="0" fillId="18" borderId="0" xfId="0" applyFill="1"/>
    <xf numFmtId="0" fontId="53" fillId="18" borderId="0" xfId="0" applyFont="1" applyFill="1" applyAlignment="1">
      <alignment horizontal="left" vertical="center" readingOrder="1"/>
    </xf>
    <xf numFmtId="0" fontId="57" fillId="0" borderId="0" xfId="0" applyFont="1" applyAlignment="1">
      <alignment wrapText="1"/>
    </xf>
    <xf numFmtId="0" fontId="2" fillId="0" borderId="0" xfId="0" applyFont="1"/>
    <xf numFmtId="0" fontId="58" fillId="0" borderId="0" xfId="0" applyFont="1" applyAlignment="1">
      <alignment horizontal="left"/>
    </xf>
    <xf numFmtId="0" fontId="48" fillId="0" borderId="0" xfId="0" applyFont="1"/>
    <xf numFmtId="0" fontId="6" fillId="0" borderId="0" xfId="29" applyFont="1" applyAlignment="1">
      <alignment wrapText="1"/>
    </xf>
    <xf numFmtId="0" fontId="5" fillId="0" borderId="0" xfId="29" applyFont="1" applyAlignment="1">
      <alignment vertical="center" wrapText="1"/>
    </xf>
    <xf numFmtId="0" fontId="6" fillId="0" borderId="0" xfId="0" applyFont="1" applyAlignment="1">
      <alignment wrapText="1"/>
    </xf>
    <xf numFmtId="0" fontId="6" fillId="0" borderId="0" xfId="101" applyFont="1" applyAlignment="1">
      <alignment vertical="center" wrapText="1"/>
    </xf>
    <xf numFmtId="0" fontId="5" fillId="0" borderId="0" xfId="101" applyFont="1" applyAlignment="1">
      <alignment vertical="center" wrapText="1"/>
    </xf>
    <xf numFmtId="0" fontId="5" fillId="0" borderId="0" xfId="135" applyFont="1" applyAlignment="1">
      <alignment vertical="center" wrapText="1"/>
    </xf>
    <xf numFmtId="0" fontId="5" fillId="0" borderId="0" xfId="106" applyFont="1" applyAlignment="1">
      <alignment vertical="center" wrapText="1"/>
    </xf>
    <xf numFmtId="0" fontId="5" fillId="0" borderId="0" xfId="479" applyFont="1" applyAlignment="1">
      <alignment vertical="center" wrapText="1"/>
    </xf>
    <xf numFmtId="0" fontId="15" fillId="3" borderId="0" xfId="0" applyFont="1" applyFill="1" applyAlignment="1">
      <alignment vertical="center"/>
    </xf>
    <xf numFmtId="37" fontId="5" fillId="3" borderId="0" xfId="0" applyNumberFormat="1" applyFont="1" applyFill="1" applyAlignment="1">
      <alignment horizontal="left" vertical="center"/>
    </xf>
    <xf numFmtId="37" fontId="5" fillId="3" borderId="0" xfId="0" applyNumberFormat="1" applyFont="1" applyFill="1" applyAlignment="1">
      <alignment horizontal="center" vertical="center"/>
    </xf>
    <xf numFmtId="0" fontId="5" fillId="3" borderId="0" xfId="0" applyFont="1" applyFill="1" applyAlignment="1">
      <alignment horizontal="center" vertical="center"/>
    </xf>
    <xf numFmtId="37" fontId="5" fillId="3" borderId="2" xfId="0" applyNumberFormat="1" applyFont="1" applyFill="1" applyBorder="1" applyAlignment="1">
      <alignment horizontal="left" vertical="center"/>
    </xf>
    <xf numFmtId="0" fontId="4" fillId="3" borderId="0" xfId="0" applyFont="1" applyFill="1" applyAlignment="1">
      <alignment horizontal="center" vertical="center"/>
    </xf>
    <xf numFmtId="0" fontId="5" fillId="3" borderId="6" xfId="0" applyFont="1" applyFill="1" applyBorder="1" applyAlignment="1">
      <alignment horizontal="center" vertical="center"/>
    </xf>
    <xf numFmtId="1" fontId="5" fillId="3" borderId="6" xfId="0" applyNumberFormat="1" applyFont="1" applyFill="1" applyBorder="1" applyAlignment="1">
      <alignment horizontal="center" vertical="center"/>
    </xf>
    <xf numFmtId="0" fontId="5" fillId="3" borderId="0" xfId="0" applyFont="1" applyFill="1" applyAlignment="1">
      <alignment horizontal="right" vertical="center"/>
    </xf>
    <xf numFmtId="0" fontId="5" fillId="3" borderId="0" xfId="63" applyFont="1" applyFill="1" applyAlignment="1">
      <alignment horizontal="right" vertical="center"/>
    </xf>
    <xf numFmtId="0" fontId="5"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2" fillId="3" borderId="0" xfId="0" applyFont="1" applyFill="1" applyAlignment="1">
      <alignment horizontal="center" vertical="center"/>
    </xf>
    <xf numFmtId="0" fontId="5" fillId="3" borderId="0" xfId="0" applyFont="1" applyFill="1" applyAlignment="1">
      <alignment horizontal="right"/>
    </xf>
    <xf numFmtId="0" fontId="5" fillId="3" borderId="2" xfId="0" applyFont="1" applyFill="1" applyBorder="1" applyAlignment="1">
      <alignment horizontal="left" vertical="center"/>
    </xf>
    <xf numFmtId="0" fontId="48" fillId="0" borderId="1" xfId="522" applyFont="1" applyBorder="1" applyAlignment="1">
      <alignment horizontal="center"/>
    </xf>
    <xf numFmtId="0" fontId="48" fillId="0" borderId="10" xfId="522" applyFont="1" applyBorder="1" applyAlignment="1">
      <alignment horizontal="center"/>
    </xf>
    <xf numFmtId="0" fontId="50" fillId="0" borderId="9" xfId="522" applyFont="1" applyBorder="1" applyAlignment="1">
      <alignment horizontal="center" vertical="center"/>
    </xf>
    <xf numFmtId="0" fontId="48" fillId="0" borderId="0" xfId="522" applyFont="1" applyAlignment="1">
      <alignment horizontal="center" wrapText="1"/>
    </xf>
    <xf numFmtId="0" fontId="48" fillId="0" borderId="0" xfId="522" applyFont="1" applyAlignment="1">
      <alignment horizontal="center"/>
    </xf>
    <xf numFmtId="0" fontId="5" fillId="0" borderId="0" xfId="0" applyFont="1" applyAlignment="1">
      <alignment wrapText="1"/>
    </xf>
    <xf numFmtId="43" fontId="0" fillId="0" borderId="0" xfId="0" applyNumberFormat="1" applyAlignment="1">
      <alignment vertical="center"/>
    </xf>
    <xf numFmtId="3" fontId="5" fillId="2" borderId="1" xfId="29" applyNumberFormat="1" applyFont="1" applyFill="1" applyBorder="1" applyAlignment="1" applyProtection="1">
      <alignment vertical="center"/>
      <protection locked="0"/>
    </xf>
    <xf numFmtId="0" fontId="5" fillId="2" borderId="2" xfId="64" applyFont="1" applyFill="1" applyBorder="1" applyAlignment="1" applyProtection="1">
      <alignment horizontal="left" vertical="center"/>
      <protection locked="0"/>
    </xf>
    <xf numFmtId="0" fontId="5" fillId="2" borderId="2" xfId="39" applyFont="1" applyFill="1" applyBorder="1" applyAlignment="1" applyProtection="1">
      <alignment horizontal="left" vertical="center"/>
      <protection locked="0"/>
    </xf>
    <xf numFmtId="0" fontId="5" fillId="2" borderId="2" xfId="59" applyFont="1" applyFill="1" applyBorder="1" applyAlignment="1" applyProtection="1">
      <alignment horizontal="left" vertical="center"/>
      <protection locked="0"/>
    </xf>
    <xf numFmtId="37" fontId="5" fillId="2" borderId="2" xfId="59" applyNumberFormat="1" applyFont="1" applyFill="1" applyBorder="1" applyAlignment="1" applyProtection="1">
      <alignment horizontal="left" vertical="center"/>
      <protection locked="0"/>
    </xf>
    <xf numFmtId="37" fontId="5" fillId="7" borderId="2" xfId="59" applyNumberFormat="1" applyFont="1" applyFill="1" applyBorder="1" applyAlignment="1" applyProtection="1">
      <alignment horizontal="right" vertical="center"/>
      <protection locked="0"/>
    </xf>
    <xf numFmtId="0" fontId="5" fillId="2" borderId="2" xfId="29" applyFont="1" applyFill="1" applyBorder="1" applyAlignment="1" applyProtection="1">
      <alignment vertical="center"/>
      <protection locked="0"/>
    </xf>
    <xf numFmtId="3" fontId="5" fillId="2" borderId="1" xfId="59" applyNumberFormat="1" applyFont="1" applyFill="1" applyBorder="1" applyAlignment="1" applyProtection="1">
      <alignment vertical="center"/>
      <protection locked="0"/>
    </xf>
    <xf numFmtId="3" fontId="5" fillId="7" borderId="2" xfId="59" applyNumberFormat="1" applyFont="1" applyFill="1" applyBorder="1" applyAlignment="1" applyProtection="1">
      <alignment horizontal="right" vertical="center"/>
      <protection locked="0"/>
    </xf>
    <xf numFmtId="3" fontId="5" fillId="2" borderId="2" xfId="59" applyNumberFormat="1" applyFont="1" applyFill="1" applyBorder="1" applyAlignment="1" applyProtection="1">
      <alignment vertical="center"/>
      <protection locked="0"/>
    </xf>
    <xf numFmtId="169" fontId="5" fillId="7" borderId="1" xfId="0" applyNumberFormat="1" applyFont="1" applyFill="1" applyBorder="1" applyAlignment="1" applyProtection="1">
      <alignment horizontal="center" vertical="center"/>
      <protection locked="0"/>
    </xf>
    <xf numFmtId="0" fontId="40" fillId="0" borderId="0" xfId="0" applyFont="1" applyAlignment="1" applyProtection="1">
      <alignment horizontal="center" vertical="center" wrapText="1"/>
      <protection locked="0"/>
    </xf>
    <xf numFmtId="177" fontId="5" fillId="0" borderId="0" xfId="0" applyNumberFormat="1" applyFont="1" applyAlignment="1">
      <alignment vertical="center"/>
    </xf>
    <xf numFmtId="37" fontId="5" fillId="0" borderId="0" xfId="0" applyNumberFormat="1" applyFont="1" applyAlignment="1">
      <alignment vertical="center"/>
    </xf>
    <xf numFmtId="37" fontId="13" fillId="3" borderId="0" xfId="0" applyNumberFormat="1" applyFont="1" applyFill="1" applyAlignment="1">
      <alignment horizontal="center" vertical="center"/>
    </xf>
    <xf numFmtId="0" fontId="14" fillId="0" borderId="0" xfId="0" applyFont="1" applyAlignment="1">
      <alignment horizontal="center" vertical="center"/>
    </xf>
    <xf numFmtId="37" fontId="12" fillId="3" borderId="0" xfId="0" applyNumberFormat="1" applyFont="1" applyFill="1" applyAlignment="1">
      <alignment horizontal="center" vertical="center"/>
    </xf>
    <xf numFmtId="0" fontId="0" fillId="0" borderId="0" xfId="0" applyAlignment="1">
      <alignment horizontal="center" vertical="center"/>
    </xf>
    <xf numFmtId="37" fontId="4" fillId="3" borderId="0" xfId="29" applyNumberFormat="1" applyFont="1" applyFill="1" applyAlignment="1">
      <alignment vertical="center" wrapText="1"/>
    </xf>
    <xf numFmtId="0" fontId="5" fillId="3" borderId="17" xfId="29" applyFont="1" applyFill="1" applyBorder="1" applyAlignment="1">
      <alignment vertical="center" wrapText="1"/>
    </xf>
    <xf numFmtId="0" fontId="3" fillId="0" borderId="16" xfId="29" applyBorder="1" applyAlignment="1">
      <alignment vertical="center" wrapText="1"/>
    </xf>
    <xf numFmtId="0" fontId="3" fillId="0" borderId="3" xfId="29" applyBorder="1" applyAlignment="1">
      <alignment vertical="center" wrapText="1"/>
    </xf>
    <xf numFmtId="0" fontId="3" fillId="0" borderId="15" xfId="29" applyBorder="1" applyAlignment="1">
      <alignment vertical="center" wrapText="1"/>
    </xf>
    <xf numFmtId="0" fontId="3" fillId="0" borderId="6" xfId="29" applyBorder="1" applyAlignment="1">
      <alignment vertical="center" wrapText="1"/>
    </xf>
    <xf numFmtId="0" fontId="3" fillId="0" borderId="12" xfId="29" applyBorder="1" applyAlignment="1">
      <alignment vertical="center" wrapText="1"/>
    </xf>
    <xf numFmtId="37" fontId="5" fillId="7" borderId="2" xfId="0" applyNumberFormat="1" applyFont="1" applyFill="1" applyBorder="1" applyAlignment="1" applyProtection="1">
      <alignment horizontal="center" vertical="center"/>
      <protection locked="0"/>
    </xf>
    <xf numFmtId="37" fontId="5" fillId="7" borderId="5" xfId="0" applyNumberFormat="1" applyFont="1" applyFill="1" applyBorder="1" applyAlignment="1" applyProtection="1">
      <alignment horizontal="center" vertical="center"/>
      <protection locked="0"/>
    </xf>
    <xf numFmtId="0" fontId="15" fillId="3" borderId="0" xfId="0" applyFont="1" applyFill="1" applyAlignment="1">
      <alignment vertical="center"/>
    </xf>
    <xf numFmtId="0" fontId="17" fillId="0" borderId="0" xfId="0" applyFont="1" applyAlignment="1">
      <alignment vertical="center"/>
    </xf>
    <xf numFmtId="0" fontId="5" fillId="8" borderId="17" xfId="0" applyFont="1" applyFill="1" applyBorder="1" applyAlignment="1">
      <alignment vertical="center" wrapText="1"/>
    </xf>
    <xf numFmtId="0" fontId="0" fillId="0" borderId="13" xfId="0" applyBorder="1" applyAlignment="1">
      <alignment vertical="center" wrapText="1"/>
    </xf>
    <xf numFmtId="0" fontId="0" fillId="0" borderId="16" xfId="0" applyBorder="1" applyAlignment="1">
      <alignment vertical="center" wrapText="1"/>
    </xf>
    <xf numFmtId="0" fontId="4" fillId="6" borderId="2" xfId="0" applyFont="1" applyFill="1" applyBorder="1" applyAlignment="1">
      <alignment horizontal="center" vertical="center"/>
    </xf>
    <xf numFmtId="0" fontId="2" fillId="6" borderId="5" xfId="0" applyFont="1" applyFill="1" applyBorder="1" applyAlignment="1">
      <alignment horizontal="center" vertical="center"/>
    </xf>
    <xf numFmtId="37" fontId="5" fillId="3" borderId="0" xfId="0" applyNumberFormat="1" applyFont="1" applyFill="1" applyAlignment="1">
      <alignment horizontal="left" vertical="center"/>
    </xf>
    <xf numFmtId="0" fontId="0" fillId="0" borderId="0" xfId="0" applyAlignment="1">
      <alignment vertical="center"/>
    </xf>
    <xf numFmtId="0" fontId="4" fillId="9" borderId="2" xfId="0" applyFont="1" applyFill="1" applyBorder="1" applyAlignment="1">
      <alignment horizontal="left" vertical="center"/>
    </xf>
    <xf numFmtId="0" fontId="4" fillId="9" borderId="7" xfId="0" applyFont="1" applyFill="1" applyBorder="1" applyAlignment="1">
      <alignment horizontal="left" vertical="center"/>
    </xf>
    <xf numFmtId="0" fontId="4" fillId="9" borderId="5" xfId="0" applyFont="1" applyFill="1" applyBorder="1" applyAlignment="1">
      <alignment horizontal="left" vertical="center"/>
    </xf>
    <xf numFmtId="0" fontId="45" fillId="16" borderId="0" xfId="485" applyFont="1" applyFill="1" applyAlignment="1">
      <alignment horizontal="center" vertical="center" wrapText="1"/>
    </xf>
    <xf numFmtId="49" fontId="5" fillId="7" borderId="2" xfId="485" applyNumberFormat="1" applyFont="1" applyFill="1" applyBorder="1" applyAlignment="1" applyProtection="1">
      <alignment horizontal="left" vertical="center"/>
      <protection locked="0"/>
    </xf>
    <xf numFmtId="49" fontId="5" fillId="7" borderId="7" xfId="485" applyNumberFormat="1" applyFont="1" applyFill="1" applyBorder="1" applyAlignment="1" applyProtection="1">
      <alignment horizontal="left" vertical="center"/>
      <protection locked="0"/>
    </xf>
    <xf numFmtId="49" fontId="5" fillId="7" borderId="5" xfId="485" applyNumberFormat="1" applyFont="1" applyFill="1" applyBorder="1" applyAlignment="1" applyProtection="1">
      <alignment horizontal="left" vertical="center"/>
      <protection locked="0"/>
    </xf>
    <xf numFmtId="0" fontId="18" fillId="0" borderId="0" xfId="485" applyFont="1" applyAlignment="1">
      <alignment horizontal="center" vertical="top" wrapText="1"/>
    </xf>
    <xf numFmtId="0" fontId="5" fillId="7" borderId="2" xfId="485" applyFont="1" applyFill="1" applyBorder="1" applyAlignment="1" applyProtection="1">
      <alignment horizontal="left" vertical="center"/>
      <protection locked="0"/>
    </xf>
    <xf numFmtId="0" fontId="5" fillId="7" borderId="7" xfId="485" applyFont="1" applyFill="1" applyBorder="1" applyAlignment="1" applyProtection="1">
      <alignment horizontal="left" vertical="center"/>
      <protection locked="0"/>
    </xf>
    <xf numFmtId="0" fontId="5" fillId="7" borderId="5" xfId="485" applyFont="1" applyFill="1" applyBorder="1" applyAlignment="1" applyProtection="1">
      <alignment horizontal="left" vertical="center"/>
      <protection locked="0"/>
    </xf>
    <xf numFmtId="0" fontId="44" fillId="16" borderId="0" xfId="485" applyFont="1" applyFill="1" applyAlignment="1">
      <alignment horizontal="center" vertical="center"/>
    </xf>
    <xf numFmtId="0" fontId="5" fillId="0" borderId="0" xfId="485" applyFont="1" applyAlignment="1">
      <alignment horizontal="center" vertical="center" wrapText="1"/>
    </xf>
    <xf numFmtId="0" fontId="4" fillId="15" borderId="0" xfId="0" applyFont="1" applyFill="1" applyAlignment="1">
      <alignment horizontal="left" vertical="top" wrapText="1"/>
    </xf>
    <xf numFmtId="37" fontId="5" fillId="3" borderId="8" xfId="0" applyNumberFormat="1" applyFont="1" applyFill="1" applyBorder="1" applyAlignment="1">
      <alignment horizontal="center" vertical="center" wrapText="1"/>
    </xf>
    <xf numFmtId="37" fontId="5" fillId="3" borderId="14" xfId="0" applyNumberFormat="1" applyFont="1" applyFill="1" applyBorder="1" applyAlignment="1">
      <alignment horizontal="center" vertical="center" wrapText="1"/>
    </xf>
    <xf numFmtId="37" fontId="5" fillId="3" borderId="9" xfId="0" applyNumberFormat="1" applyFont="1" applyFill="1" applyBorder="1" applyAlignment="1">
      <alignment horizontal="center" vertical="center" wrapText="1"/>
    </xf>
    <xf numFmtId="0" fontId="20" fillId="3" borderId="0" xfId="0" applyFont="1" applyFill="1" applyAlignment="1">
      <alignment horizontal="center" vertical="center"/>
    </xf>
    <xf numFmtId="3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8" fillId="6" borderId="8" xfId="0" applyFont="1" applyFill="1" applyBorder="1" applyAlignment="1">
      <alignment horizontal="center" vertical="center" wrapText="1" shrinkToFit="1"/>
    </xf>
    <xf numFmtId="0" fontId="0" fillId="0" borderId="9" xfId="0" applyBorder="1" applyAlignment="1">
      <alignment horizontal="center" vertical="center" wrapText="1"/>
    </xf>
    <xf numFmtId="41" fontId="5" fillId="13" borderId="8" xfId="1" applyNumberFormat="1" applyFont="1" applyFill="1" applyBorder="1" applyAlignment="1">
      <alignment horizontal="center" vertical="center"/>
    </xf>
    <xf numFmtId="41" fontId="5" fillId="13" borderId="9" xfId="1" applyNumberFormat="1" applyFont="1" applyFill="1" applyBorder="1" applyAlignment="1">
      <alignment horizontal="center" vertical="center"/>
    </xf>
    <xf numFmtId="37" fontId="5" fillId="3" borderId="2" xfId="0" applyNumberFormat="1" applyFont="1" applyFill="1" applyBorder="1" applyAlignment="1">
      <alignment horizontal="left" vertical="center"/>
    </xf>
    <xf numFmtId="37" fontId="5" fillId="3" borderId="5" xfId="0" applyNumberFormat="1" applyFont="1" applyFill="1" applyBorder="1" applyAlignment="1">
      <alignment horizontal="left" vertical="center"/>
    </xf>
    <xf numFmtId="37" fontId="5" fillId="3" borderId="2" xfId="0" applyNumberFormat="1" applyFont="1" applyFill="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37" fontId="4" fillId="3" borderId="0" xfId="29" applyNumberFormat="1" applyFont="1" applyFill="1" applyAlignment="1">
      <alignment horizontal="center" vertical="center"/>
    </xf>
    <xf numFmtId="0" fontId="3" fillId="0" borderId="0" xfId="29" applyAlignment="1">
      <alignment horizontal="center" vertical="center"/>
    </xf>
    <xf numFmtId="0" fontId="4" fillId="3" borderId="0" xfId="0" applyFont="1" applyFill="1" applyAlignment="1">
      <alignment horizontal="center" vertical="center"/>
    </xf>
    <xf numFmtId="0" fontId="5" fillId="3" borderId="6" xfId="0" applyFont="1" applyFill="1" applyBorder="1" applyAlignment="1">
      <alignment horizontal="center" vertical="center"/>
    </xf>
    <xf numFmtId="0" fontId="0" fillId="0" borderId="12" xfId="0" applyBorder="1" applyAlignment="1">
      <alignment vertical="center"/>
    </xf>
    <xf numFmtId="1" fontId="5" fillId="3" borderId="6" xfId="0" applyNumberFormat="1" applyFont="1" applyFill="1" applyBorder="1" applyAlignment="1">
      <alignment horizontal="center" vertical="center"/>
    </xf>
    <xf numFmtId="0" fontId="0" fillId="0" borderId="12" xfId="0" applyBorder="1" applyAlignment="1">
      <alignment horizontal="center" vertical="center"/>
    </xf>
    <xf numFmtId="0" fontId="5" fillId="8" borderId="0" xfId="520" applyFont="1" applyFill="1" applyAlignment="1">
      <alignment horizontal="center" vertical="center"/>
    </xf>
    <xf numFmtId="0" fontId="12" fillId="12" borderId="0" xfId="506" applyFont="1" applyFill="1" applyAlignment="1">
      <alignment horizontal="center"/>
    </xf>
    <xf numFmtId="0" fontId="3" fillId="12" borderId="0" xfId="39" applyFill="1" applyAlignment="1">
      <alignment horizontal="center"/>
    </xf>
    <xf numFmtId="0" fontId="4" fillId="12" borderId="0" xfId="39" applyFont="1" applyFill="1" applyAlignment="1">
      <alignment horizontal="center" vertical="center"/>
    </xf>
    <xf numFmtId="0" fontId="12" fillId="12" borderId="0" xfId="39" applyFont="1" applyFill="1" applyAlignment="1">
      <alignment horizontal="center" vertical="center"/>
    </xf>
    <xf numFmtId="0" fontId="5" fillId="12" borderId="0" xfId="39" applyFont="1" applyFill="1" applyAlignment="1">
      <alignment vertical="center" wrapText="1"/>
    </xf>
    <xf numFmtId="0" fontId="40" fillId="0" borderId="13" xfId="0" applyFont="1" applyBorder="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5" fillId="3" borderId="0" xfId="0" applyFont="1" applyFill="1" applyAlignment="1">
      <alignment horizontal="right" vertical="center"/>
    </xf>
    <xf numFmtId="0" fontId="0" fillId="0" borderId="0" xfId="0" applyAlignment="1">
      <alignment horizontal="right" vertical="center"/>
    </xf>
    <xf numFmtId="3" fontId="5" fillId="3" borderId="13" xfId="63" applyNumberFormat="1" applyFont="1" applyFill="1" applyBorder="1" applyAlignment="1">
      <alignment horizontal="right" vertical="center"/>
    </xf>
    <xf numFmtId="0" fontId="3" fillId="0" borderId="16" xfId="63" applyBorder="1" applyAlignment="1">
      <alignment horizontal="right" vertical="center"/>
    </xf>
    <xf numFmtId="0" fontId="5" fillId="3" borderId="0" xfId="63" applyFont="1" applyFill="1" applyAlignment="1">
      <alignment horizontal="right" vertical="center"/>
    </xf>
    <xf numFmtId="0" fontId="5" fillId="0" borderId="15" xfId="63" applyFont="1" applyBorder="1" applyAlignment="1">
      <alignment horizontal="right" vertical="center"/>
    </xf>
    <xf numFmtId="0" fontId="30" fillId="12" borderId="17" xfId="59" applyFont="1" applyFill="1" applyBorder="1" applyAlignment="1">
      <alignment horizontal="center" vertical="center"/>
    </xf>
    <xf numFmtId="0" fontId="30" fillId="12" borderId="13" xfId="59" applyFont="1" applyFill="1" applyBorder="1" applyAlignment="1">
      <alignment horizontal="center" vertical="center"/>
    </xf>
    <xf numFmtId="0" fontId="3" fillId="0" borderId="16" xfId="59" applyBorder="1" applyAlignment="1">
      <alignment vertical="center"/>
    </xf>
    <xf numFmtId="0" fontId="0" fillId="0" borderId="13" xfId="0" applyBorder="1" applyAlignment="1">
      <alignment vertical="center"/>
    </xf>
    <xf numFmtId="0" fontId="0" fillId="0" borderId="16" xfId="0" applyBorder="1" applyAlignment="1">
      <alignment vertical="center"/>
    </xf>
    <xf numFmtId="172" fontId="30" fillId="12" borderId="17" xfId="0" applyNumberFormat="1" applyFont="1" applyFill="1" applyBorder="1" applyAlignment="1">
      <alignment horizontal="center" wrapText="1"/>
    </xf>
    <xf numFmtId="172" fontId="30" fillId="12" borderId="13" xfId="0" applyNumberFormat="1" applyFont="1" applyFill="1" applyBorder="1" applyAlignment="1">
      <alignment horizontal="center" wrapText="1"/>
    </xf>
    <xf numFmtId="172" fontId="30" fillId="12" borderId="16" xfId="0" applyNumberFormat="1" applyFont="1" applyFill="1" applyBorder="1" applyAlignment="1">
      <alignment horizontal="center" wrapText="1"/>
    </xf>
    <xf numFmtId="172" fontId="30" fillId="12" borderId="3" xfId="0" applyNumberFormat="1" applyFont="1" applyFill="1" applyBorder="1" applyAlignment="1">
      <alignment horizontal="center" wrapText="1"/>
    </xf>
    <xf numFmtId="172" fontId="30" fillId="12" borderId="0" xfId="0" applyNumberFormat="1" applyFont="1" applyFill="1" applyAlignment="1">
      <alignment horizontal="center" wrapText="1"/>
    </xf>
    <xf numFmtId="172" fontId="30" fillId="12" borderId="15" xfId="0" applyNumberFormat="1" applyFont="1" applyFill="1" applyBorder="1" applyAlignment="1">
      <alignment horizontal="center" wrapText="1"/>
    </xf>
    <xf numFmtId="0" fontId="5" fillId="12" borderId="3" xfId="0" applyFont="1" applyFill="1" applyBorder="1" applyAlignment="1">
      <alignment horizontal="center" vertical="center" wrapText="1"/>
    </xf>
    <xf numFmtId="0" fontId="5" fillId="12" borderId="0" xfId="0" applyFont="1" applyFill="1" applyAlignment="1">
      <alignment horizontal="center" vertical="center" wrapText="1"/>
    </xf>
    <xf numFmtId="0" fontId="5" fillId="12" borderId="6" xfId="0" applyFont="1" applyFill="1" applyBorder="1" applyAlignment="1">
      <alignment horizontal="center" vertical="center" wrapText="1"/>
    </xf>
    <xf numFmtId="0" fontId="5" fillId="12" borderId="4" xfId="0" applyFont="1" applyFill="1" applyBorder="1" applyAlignment="1">
      <alignment horizontal="center" vertical="center" wrapText="1"/>
    </xf>
    <xf numFmtId="49" fontId="46" fillId="12" borderId="15" xfId="0" applyNumberFormat="1" applyFont="1" applyFill="1" applyBorder="1" applyAlignment="1">
      <alignment horizontal="center" vertical="center"/>
    </xf>
    <xf numFmtId="49" fontId="46" fillId="12" borderId="12" xfId="0" applyNumberFormat="1" applyFont="1" applyFill="1" applyBorder="1" applyAlignment="1">
      <alignment horizontal="center" vertical="center"/>
    </xf>
    <xf numFmtId="0" fontId="30" fillId="12" borderId="17" xfId="0" applyFont="1" applyFill="1" applyBorder="1" applyAlignment="1">
      <alignment horizontal="center" vertical="center"/>
    </xf>
    <xf numFmtId="0" fontId="29" fillId="12" borderId="17" xfId="58" applyFont="1" applyFill="1" applyBorder="1" applyAlignment="1">
      <alignment horizontal="center" vertical="center"/>
    </xf>
    <xf numFmtId="0" fontId="0" fillId="0" borderId="13" xfId="0" applyBorder="1" applyAlignment="1">
      <alignment horizontal="center" vertical="center"/>
    </xf>
    <xf numFmtId="0" fontId="32" fillId="0" borderId="13" xfId="0" applyFont="1" applyBorder="1" applyAlignment="1">
      <alignment horizontal="center" vertical="center"/>
    </xf>
    <xf numFmtId="0" fontId="0" fillId="0" borderId="16" xfId="0" applyBorder="1"/>
    <xf numFmtId="0" fontId="5" fillId="8" borderId="0" xfId="0" applyFont="1" applyFill="1" applyAlignment="1">
      <alignment horizontal="right" vertical="center"/>
    </xf>
    <xf numFmtId="0" fontId="18" fillId="3" borderId="0" xfId="0" applyFont="1" applyFill="1" applyAlignment="1">
      <alignment horizontal="center" vertical="center"/>
    </xf>
    <xf numFmtId="0" fontId="4" fillId="3" borderId="2"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4" fillId="12" borderId="17" xfId="0" applyFont="1" applyFill="1" applyBorder="1" applyAlignment="1">
      <alignment horizontal="center" wrapText="1"/>
    </xf>
    <xf numFmtId="0" fontId="12" fillId="12" borderId="13" xfId="0" applyFont="1" applyFill="1" applyBorder="1" applyAlignment="1">
      <alignment horizontal="center" wrapText="1"/>
    </xf>
    <xf numFmtId="0" fontId="12" fillId="12" borderId="6" xfId="0" applyFont="1" applyFill="1" applyBorder="1" applyAlignment="1">
      <alignment horizontal="center" wrapText="1"/>
    </xf>
    <xf numFmtId="0" fontId="12" fillId="12" borderId="4" xfId="0" applyFont="1" applyFill="1" applyBorder="1" applyAlignment="1">
      <alignment horizontal="center" wrapText="1"/>
    </xf>
    <xf numFmtId="0" fontId="44" fillId="12" borderId="16" xfId="0" applyFont="1" applyFill="1" applyBorder="1" applyAlignment="1">
      <alignment horizontal="center" vertical="center" wrapText="1"/>
    </xf>
    <xf numFmtId="0" fontId="45" fillId="12" borderId="12" xfId="0" applyFont="1" applyFill="1" applyBorder="1" applyAlignment="1">
      <alignment horizontal="center" vertical="center" wrapText="1"/>
    </xf>
    <xf numFmtId="49" fontId="4" fillId="3"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37" fontId="5" fillId="3" borderId="13" xfId="0" applyNumberFormat="1" applyFont="1" applyFill="1" applyBorder="1" applyAlignment="1">
      <alignment horizontal="center" vertical="center"/>
    </xf>
    <xf numFmtId="0" fontId="12" fillId="12" borderId="17" xfId="59" applyFont="1" applyFill="1" applyBorder="1" applyAlignment="1">
      <alignment horizontal="center"/>
    </xf>
    <xf numFmtId="0" fontId="3" fillId="0" borderId="13" xfId="59" applyBorder="1" applyAlignment="1">
      <alignment horizontal="center"/>
    </xf>
    <xf numFmtId="0" fontId="3" fillId="0" borderId="16" xfId="59" applyBorder="1" applyAlignment="1">
      <alignment horizontal="center"/>
    </xf>
    <xf numFmtId="37" fontId="4" fillId="15" borderId="0" xfId="0" applyNumberFormat="1" applyFont="1" applyFill="1" applyAlignment="1">
      <alignment horizontal="center" vertical="center"/>
    </xf>
    <xf numFmtId="37" fontId="5" fillId="12" borderId="0" xfId="0" applyNumberFormat="1" applyFont="1" applyFill="1" applyAlignment="1">
      <alignment horizontal="center" vertical="center"/>
    </xf>
    <xf numFmtId="0" fontId="0" fillId="0" borderId="13" xfId="0" applyBorder="1" applyAlignment="1">
      <alignment horizontal="center"/>
    </xf>
    <xf numFmtId="0" fontId="0" fillId="0" borderId="16" xfId="0" applyBorder="1" applyAlignment="1">
      <alignment horizontal="center"/>
    </xf>
    <xf numFmtId="0" fontId="12" fillId="12" borderId="13" xfId="59" applyFont="1" applyFill="1" applyBorder="1" applyAlignment="1">
      <alignment horizontal="center"/>
    </xf>
    <xf numFmtId="0" fontId="12" fillId="12" borderId="16" xfId="59" applyFont="1" applyFill="1" applyBorder="1" applyAlignment="1">
      <alignment horizontal="center"/>
    </xf>
    <xf numFmtId="37" fontId="18" fillId="3" borderId="6" xfId="0" applyNumberFormat="1" applyFont="1" applyFill="1" applyBorder="1" applyAlignment="1">
      <alignment horizontal="right" vertical="center"/>
    </xf>
    <xf numFmtId="37" fontId="18" fillId="3" borderId="4" xfId="0" applyNumberFormat="1" applyFont="1" applyFill="1" applyBorder="1" applyAlignment="1">
      <alignment horizontal="right" vertical="center"/>
    </xf>
    <xf numFmtId="37" fontId="18" fillId="3" borderId="12" xfId="0" applyNumberFormat="1" applyFont="1" applyFill="1" applyBorder="1" applyAlignment="1">
      <alignment horizontal="right" vertical="center"/>
    </xf>
    <xf numFmtId="0" fontId="48" fillId="0" borderId="1" xfId="522" applyFont="1" applyBorder="1" applyAlignment="1">
      <alignment horizontal="center"/>
    </xf>
    <xf numFmtId="0" fontId="48" fillId="0" borderId="10" xfId="522" applyFont="1" applyBorder="1" applyAlignment="1">
      <alignment horizontal="center"/>
    </xf>
    <xf numFmtId="0" fontId="50" fillId="0" borderId="9" xfId="522" applyFont="1" applyBorder="1" applyAlignment="1">
      <alignment horizontal="center" vertical="center"/>
    </xf>
    <xf numFmtId="0" fontId="48" fillId="0" borderId="4" xfId="522" applyFont="1" applyBorder="1" applyAlignment="1">
      <alignment horizontal="center" wrapText="1"/>
    </xf>
    <xf numFmtId="0" fontId="48" fillId="0" borderId="2" xfId="522" applyFont="1" applyBorder="1" applyAlignment="1">
      <alignment horizontal="center"/>
    </xf>
    <xf numFmtId="0" fontId="48" fillId="0" borderId="7" xfId="522" applyFont="1" applyBorder="1" applyAlignment="1">
      <alignment horizontal="center"/>
    </xf>
    <xf numFmtId="0" fontId="48" fillId="0" borderId="5" xfId="522" applyFont="1" applyBorder="1" applyAlignment="1">
      <alignment horizontal="center"/>
    </xf>
    <xf numFmtId="0" fontId="47" fillId="0" borderId="0" xfId="522" applyFont="1" applyAlignment="1">
      <alignment horizontal="center"/>
    </xf>
    <xf numFmtId="0" fontId="48" fillId="0" borderId="0" xfId="522" applyFont="1" applyAlignment="1">
      <alignment horizontal="center" wrapText="1"/>
    </xf>
    <xf numFmtId="0" fontId="48" fillId="0" borderId="0" xfId="522" applyFont="1" applyAlignment="1">
      <alignment horizontal="center"/>
    </xf>
    <xf numFmtId="0" fontId="49" fillId="17" borderId="2" xfId="522" applyFont="1" applyFill="1" applyBorder="1" applyAlignment="1">
      <alignment horizontal="center" vertical="center"/>
    </xf>
    <xf numFmtId="0" fontId="49" fillId="17" borderId="7" xfId="522" applyFont="1" applyFill="1" applyBorder="1" applyAlignment="1">
      <alignment horizontal="center" vertical="center"/>
    </xf>
    <xf numFmtId="0" fontId="49" fillId="17" borderId="5" xfId="522" applyFont="1" applyFill="1" applyBorder="1" applyAlignment="1">
      <alignment horizontal="center" vertical="center"/>
    </xf>
    <xf numFmtId="0" fontId="57" fillId="0" borderId="0" xfId="0" applyFont="1" applyAlignment="1">
      <alignment horizontal="center" wrapText="1"/>
    </xf>
    <xf numFmtId="0" fontId="5" fillId="0" borderId="0" xfId="0" applyFont="1" applyAlignment="1">
      <alignment horizontal="left" wrapText="1"/>
    </xf>
    <xf numFmtId="0" fontId="60" fillId="0" borderId="0" xfId="523" applyFont="1" applyAlignment="1">
      <alignment horizontal="center"/>
    </xf>
  </cellXfs>
  <cellStyles count="537">
    <cellStyle name="Comma" xfId="1" builtinId="3"/>
    <cellStyle name="Comma 11 2" xfId="2" xr:uid="{00000000-0005-0000-0000-000001000000}"/>
    <cellStyle name="Comma 16" xfId="3" xr:uid="{00000000-0005-0000-0000-000002000000}"/>
    <cellStyle name="Comma 16 2" xfId="4" xr:uid="{00000000-0005-0000-0000-000003000000}"/>
    <cellStyle name="Comma 16 3" xfId="5" xr:uid="{00000000-0005-0000-0000-000004000000}"/>
    <cellStyle name="Comma 17" xfId="6" xr:uid="{00000000-0005-0000-0000-000005000000}"/>
    <cellStyle name="Comma 2" xfId="524" xr:uid="{E00E3112-4266-4E9C-B22C-43FD45B78418}"/>
    <cellStyle name="Comma 2 2" xfId="7" xr:uid="{00000000-0005-0000-0000-000006000000}"/>
    <cellStyle name="Comma 3 2" xfId="8" xr:uid="{00000000-0005-0000-0000-000007000000}"/>
    <cellStyle name="Comma 3 3" xfId="9" xr:uid="{00000000-0005-0000-0000-000008000000}"/>
    <cellStyle name="Comma 4" xfId="525" xr:uid="{485AC2D9-F8BD-4049-BB3F-A15EC2BB4CAA}"/>
    <cellStyle name="Comma 4 2" xfId="10" xr:uid="{00000000-0005-0000-0000-000009000000}"/>
    <cellStyle name="Comma 6" xfId="526" xr:uid="{596CB8BF-E00D-48CD-8153-781298EF0A82}"/>
    <cellStyle name="Comma 6 2" xfId="11" xr:uid="{00000000-0005-0000-0000-00000A000000}"/>
    <cellStyle name="Comma 7" xfId="527" xr:uid="{D43652FA-0E72-4828-B833-DDDD0619215A}"/>
    <cellStyle name="Comma 7 2" xfId="12" xr:uid="{00000000-0005-0000-0000-00000B000000}"/>
    <cellStyle name="Comma 7 3" xfId="13" xr:uid="{00000000-0005-0000-0000-00000C000000}"/>
    <cellStyle name="Hyperlink" xfId="14" builtinId="8"/>
    <cellStyle name="Hyperlink 16" xfId="15" xr:uid="{00000000-0005-0000-0000-00000E000000}"/>
    <cellStyle name="Hyperlink 2" xfId="528" xr:uid="{170764B0-5B26-4436-B4A0-6D39519A0662}"/>
    <cellStyle name="Hyperlink 2 2" xfId="16" xr:uid="{00000000-0005-0000-0000-00000F000000}"/>
    <cellStyle name="Hyperlink 2 3" xfId="17" xr:uid="{00000000-0005-0000-0000-000010000000}"/>
    <cellStyle name="Hyperlink 3" xfId="529" xr:uid="{6D72D62B-F7F1-4596-A078-CEC3F22CD90C}"/>
    <cellStyle name="Hyperlink 3 2" xfId="18" xr:uid="{00000000-0005-0000-0000-000011000000}"/>
    <cellStyle name="Hyperlink 3 3" xfId="19" xr:uid="{00000000-0005-0000-0000-000012000000}"/>
    <cellStyle name="Hyperlink 3 4" xfId="20" xr:uid="{00000000-0005-0000-0000-000013000000}"/>
    <cellStyle name="Hyperlink 4" xfId="530" xr:uid="{9616EB03-4B45-4FD4-B563-2BD8203E7EB9}"/>
    <cellStyle name="Hyperlink 4 2" xfId="21" xr:uid="{00000000-0005-0000-0000-000014000000}"/>
    <cellStyle name="Hyperlink 7" xfId="22" xr:uid="{00000000-0005-0000-0000-000015000000}"/>
    <cellStyle name="Hyperlink 7 2" xfId="23" xr:uid="{00000000-0005-0000-0000-000016000000}"/>
    <cellStyle name="Hyperlink 7 3" xfId="24" xr:uid="{00000000-0005-0000-0000-000017000000}"/>
    <cellStyle name="Hyperlink 8" xfId="25" xr:uid="{00000000-0005-0000-0000-000018000000}"/>
    <cellStyle name="Hyperlink 8 2" xfId="26" xr:uid="{00000000-0005-0000-0000-000019000000}"/>
    <cellStyle name="Normal" xfId="0" builtinId="0"/>
    <cellStyle name="Normal 10" xfId="27" xr:uid="{00000000-0005-0000-0000-00001B000000}"/>
    <cellStyle name="Normal 10 2" xfId="28" xr:uid="{00000000-0005-0000-0000-00001C000000}"/>
    <cellStyle name="Normal 10 2 2" xfId="29" xr:uid="{00000000-0005-0000-0000-00001D000000}"/>
    <cellStyle name="Normal 10 2 2 2" xfId="30" xr:uid="{00000000-0005-0000-0000-00001E000000}"/>
    <cellStyle name="Normal 10 2 2 3" xfId="31" xr:uid="{00000000-0005-0000-0000-00001F000000}"/>
    <cellStyle name="Normal 10 2 3" xfId="32" xr:uid="{00000000-0005-0000-0000-000020000000}"/>
    <cellStyle name="Normal 10 3" xfId="33" xr:uid="{00000000-0005-0000-0000-000021000000}"/>
    <cellStyle name="Normal 10 3 2" xfId="34" xr:uid="{00000000-0005-0000-0000-000022000000}"/>
    <cellStyle name="Normal 10 3 3" xfId="35" xr:uid="{00000000-0005-0000-0000-000023000000}"/>
    <cellStyle name="Normal 10 4" xfId="36" xr:uid="{00000000-0005-0000-0000-000024000000}"/>
    <cellStyle name="Normal 10 4 2" xfId="37" xr:uid="{00000000-0005-0000-0000-000025000000}"/>
    <cellStyle name="Normal 10 4 3" xfId="38" xr:uid="{00000000-0005-0000-0000-000026000000}"/>
    <cellStyle name="Normal 10 5" xfId="39" xr:uid="{00000000-0005-0000-0000-000027000000}"/>
    <cellStyle name="Normal 10 5 2" xfId="40" xr:uid="{00000000-0005-0000-0000-000028000000}"/>
    <cellStyle name="Normal 10 5 3" xfId="41" xr:uid="{00000000-0005-0000-0000-000029000000}"/>
    <cellStyle name="Normal 10 6" xfId="42" xr:uid="{00000000-0005-0000-0000-00002A000000}"/>
    <cellStyle name="Normal 10 6 2" xfId="43" xr:uid="{00000000-0005-0000-0000-00002B000000}"/>
    <cellStyle name="Normal 10 6 3" xfId="44" xr:uid="{00000000-0005-0000-0000-00002C000000}"/>
    <cellStyle name="Normal 10 7" xfId="45" xr:uid="{00000000-0005-0000-0000-00002D000000}"/>
    <cellStyle name="Normal 10 7 2" xfId="46" xr:uid="{00000000-0005-0000-0000-00002E000000}"/>
    <cellStyle name="Normal 10 7 3" xfId="47" xr:uid="{00000000-0005-0000-0000-00002F000000}"/>
    <cellStyle name="Normal 11" xfId="48" xr:uid="{00000000-0005-0000-0000-000030000000}"/>
    <cellStyle name="Normal 11 2" xfId="49" xr:uid="{00000000-0005-0000-0000-000031000000}"/>
    <cellStyle name="Normal 11 2 2" xfId="50" xr:uid="{00000000-0005-0000-0000-000032000000}"/>
    <cellStyle name="Normal 11 2 3" xfId="51" xr:uid="{00000000-0005-0000-0000-000033000000}"/>
    <cellStyle name="Normal 11 3" xfId="52" xr:uid="{00000000-0005-0000-0000-000034000000}"/>
    <cellStyle name="Normal 11 4" xfId="53" xr:uid="{00000000-0005-0000-0000-000035000000}"/>
    <cellStyle name="Normal 11 5" xfId="54" xr:uid="{00000000-0005-0000-0000-000036000000}"/>
    <cellStyle name="Normal 11 5 2" xfId="55" xr:uid="{00000000-0005-0000-0000-000037000000}"/>
    <cellStyle name="Normal 11 5 3" xfId="56" xr:uid="{00000000-0005-0000-0000-000038000000}"/>
    <cellStyle name="Normal 11 6" xfId="57" xr:uid="{00000000-0005-0000-0000-000039000000}"/>
    <cellStyle name="Normal 12" xfId="58" xr:uid="{00000000-0005-0000-0000-00003A000000}"/>
    <cellStyle name="Normal 12 10" xfId="59" xr:uid="{00000000-0005-0000-0000-00003B000000}"/>
    <cellStyle name="Normal 12 11" xfId="60" xr:uid="{00000000-0005-0000-0000-00003C000000}"/>
    <cellStyle name="Normal 12 12" xfId="61" xr:uid="{00000000-0005-0000-0000-00003D000000}"/>
    <cellStyle name="Normal 12 13" xfId="62" xr:uid="{00000000-0005-0000-0000-00003E000000}"/>
    <cellStyle name="Normal 12 2" xfId="63" xr:uid="{00000000-0005-0000-0000-00003F000000}"/>
    <cellStyle name="Normal 12 2 2" xfId="64" xr:uid="{00000000-0005-0000-0000-000040000000}"/>
    <cellStyle name="Normal 12 3" xfId="65" xr:uid="{00000000-0005-0000-0000-000041000000}"/>
    <cellStyle name="Normal 12 4" xfId="66" xr:uid="{00000000-0005-0000-0000-000042000000}"/>
    <cellStyle name="Normal 12 5" xfId="67" xr:uid="{00000000-0005-0000-0000-000043000000}"/>
    <cellStyle name="Normal 12 6" xfId="68" xr:uid="{00000000-0005-0000-0000-000044000000}"/>
    <cellStyle name="Normal 12 7" xfId="69" xr:uid="{00000000-0005-0000-0000-000045000000}"/>
    <cellStyle name="Normal 12 8" xfId="70" xr:uid="{00000000-0005-0000-0000-000046000000}"/>
    <cellStyle name="Normal 12 9" xfId="71" xr:uid="{00000000-0005-0000-0000-000047000000}"/>
    <cellStyle name="Normal 13" xfId="72" xr:uid="{00000000-0005-0000-0000-000048000000}"/>
    <cellStyle name="Normal 13 10" xfId="73" xr:uid="{00000000-0005-0000-0000-000049000000}"/>
    <cellStyle name="Normal 13 11" xfId="74" xr:uid="{00000000-0005-0000-0000-00004A000000}"/>
    <cellStyle name="Normal 13 12" xfId="75" xr:uid="{00000000-0005-0000-0000-00004B000000}"/>
    <cellStyle name="Normal 13 13" xfId="76" xr:uid="{00000000-0005-0000-0000-00004C000000}"/>
    <cellStyle name="Normal 13 2" xfId="77" xr:uid="{00000000-0005-0000-0000-00004D000000}"/>
    <cellStyle name="Normal 13 2 2" xfId="78" xr:uid="{00000000-0005-0000-0000-00004E000000}"/>
    <cellStyle name="Normal 13 3" xfId="79" xr:uid="{00000000-0005-0000-0000-00004F000000}"/>
    <cellStyle name="Normal 13 4" xfId="80" xr:uid="{00000000-0005-0000-0000-000050000000}"/>
    <cellStyle name="Normal 13 5" xfId="81" xr:uid="{00000000-0005-0000-0000-000051000000}"/>
    <cellStyle name="Normal 13 6" xfId="82" xr:uid="{00000000-0005-0000-0000-000052000000}"/>
    <cellStyle name="Normal 13 7" xfId="83" xr:uid="{00000000-0005-0000-0000-000053000000}"/>
    <cellStyle name="Normal 13 8" xfId="84" xr:uid="{00000000-0005-0000-0000-000054000000}"/>
    <cellStyle name="Normal 13 9" xfId="85" xr:uid="{00000000-0005-0000-0000-000055000000}"/>
    <cellStyle name="Normal 14" xfId="86" xr:uid="{00000000-0005-0000-0000-000056000000}"/>
    <cellStyle name="Normal 14 2" xfId="87" xr:uid="{00000000-0005-0000-0000-000057000000}"/>
    <cellStyle name="Normal 14 3" xfId="88" xr:uid="{00000000-0005-0000-0000-000058000000}"/>
    <cellStyle name="Normal 14 4" xfId="89" xr:uid="{00000000-0005-0000-0000-000059000000}"/>
    <cellStyle name="Normal 14 5" xfId="90" xr:uid="{00000000-0005-0000-0000-00005A000000}"/>
    <cellStyle name="Normal 14 6" xfId="91" xr:uid="{00000000-0005-0000-0000-00005B000000}"/>
    <cellStyle name="Normal 14 7" xfId="92" xr:uid="{00000000-0005-0000-0000-00005C000000}"/>
    <cellStyle name="Normal 14 7 2" xfId="93" xr:uid="{00000000-0005-0000-0000-00005D000000}"/>
    <cellStyle name="Normal 14 7 3" xfId="94" xr:uid="{00000000-0005-0000-0000-00005E000000}"/>
    <cellStyle name="Normal 15" xfId="95" xr:uid="{00000000-0005-0000-0000-00005F000000}"/>
    <cellStyle name="Normal 15 2" xfId="96" xr:uid="{00000000-0005-0000-0000-000060000000}"/>
    <cellStyle name="Normal 15 3" xfId="97" xr:uid="{00000000-0005-0000-0000-000061000000}"/>
    <cellStyle name="Normal 15 4" xfId="98" xr:uid="{00000000-0005-0000-0000-000062000000}"/>
    <cellStyle name="Normal 15 5" xfId="99" xr:uid="{00000000-0005-0000-0000-000063000000}"/>
    <cellStyle name="Normal 16" xfId="100" xr:uid="{00000000-0005-0000-0000-000064000000}"/>
    <cellStyle name="Normal 16 2" xfId="101" xr:uid="{00000000-0005-0000-0000-000065000000}"/>
    <cellStyle name="Normal 16 3" xfId="102" xr:uid="{00000000-0005-0000-0000-000066000000}"/>
    <cellStyle name="Normal 16 4" xfId="103" xr:uid="{00000000-0005-0000-0000-000067000000}"/>
    <cellStyle name="Normal 16 5" xfId="104" xr:uid="{00000000-0005-0000-0000-000068000000}"/>
    <cellStyle name="Normal 17" xfId="105" xr:uid="{00000000-0005-0000-0000-000069000000}"/>
    <cellStyle name="Normal 17 2" xfId="106" xr:uid="{00000000-0005-0000-0000-00006A000000}"/>
    <cellStyle name="Normal 17 3" xfId="107" xr:uid="{00000000-0005-0000-0000-00006B000000}"/>
    <cellStyle name="Normal 17 4" xfId="108" xr:uid="{00000000-0005-0000-0000-00006C000000}"/>
    <cellStyle name="Normal 17 5" xfId="109" xr:uid="{00000000-0005-0000-0000-00006D000000}"/>
    <cellStyle name="Normal 18" xfId="110" xr:uid="{00000000-0005-0000-0000-00006E000000}"/>
    <cellStyle name="Normal 18 2" xfId="111" xr:uid="{00000000-0005-0000-0000-00006F000000}"/>
    <cellStyle name="Normal 18 2 2" xfId="112" xr:uid="{00000000-0005-0000-0000-000070000000}"/>
    <cellStyle name="Normal 18 2 3" xfId="113" xr:uid="{00000000-0005-0000-0000-000071000000}"/>
    <cellStyle name="Normal 18 3" xfId="114" xr:uid="{00000000-0005-0000-0000-000072000000}"/>
    <cellStyle name="Normal 18 4" xfId="115" xr:uid="{00000000-0005-0000-0000-000073000000}"/>
    <cellStyle name="Normal 18 5" xfId="116" xr:uid="{00000000-0005-0000-0000-000074000000}"/>
    <cellStyle name="Normal 18 6" xfId="117" xr:uid="{00000000-0005-0000-0000-000075000000}"/>
    <cellStyle name="Normal 18 7" xfId="118" xr:uid="{00000000-0005-0000-0000-000076000000}"/>
    <cellStyle name="Normal 18 8" xfId="119" xr:uid="{00000000-0005-0000-0000-000077000000}"/>
    <cellStyle name="Normal 18 9" xfId="120" xr:uid="{00000000-0005-0000-0000-000078000000}"/>
    <cellStyle name="Normal 19" xfId="121" xr:uid="{00000000-0005-0000-0000-000079000000}"/>
    <cellStyle name="Normal 19 2" xfId="122" xr:uid="{00000000-0005-0000-0000-00007A000000}"/>
    <cellStyle name="Normal 19 2 2" xfId="123" xr:uid="{00000000-0005-0000-0000-00007B000000}"/>
    <cellStyle name="Normal 19 2 3" xfId="124" xr:uid="{00000000-0005-0000-0000-00007C000000}"/>
    <cellStyle name="Normal 19 3" xfId="125" xr:uid="{00000000-0005-0000-0000-00007D000000}"/>
    <cellStyle name="Normal 19 4" xfId="126" xr:uid="{00000000-0005-0000-0000-00007E000000}"/>
    <cellStyle name="Normal 19 5" xfId="127" xr:uid="{00000000-0005-0000-0000-00007F000000}"/>
    <cellStyle name="Normal 19 6" xfId="128" xr:uid="{00000000-0005-0000-0000-000080000000}"/>
    <cellStyle name="Normal 19 7" xfId="129" xr:uid="{00000000-0005-0000-0000-000081000000}"/>
    <cellStyle name="Normal 19 8" xfId="130" xr:uid="{00000000-0005-0000-0000-000082000000}"/>
    <cellStyle name="Normal 2" xfId="131" xr:uid="{00000000-0005-0000-0000-000083000000}"/>
    <cellStyle name="Normal 2 10" xfId="132" xr:uid="{00000000-0005-0000-0000-000084000000}"/>
    <cellStyle name="Normal 2 10 10" xfId="133" xr:uid="{00000000-0005-0000-0000-000085000000}"/>
    <cellStyle name="Normal 2 10 11" xfId="134" xr:uid="{00000000-0005-0000-0000-000086000000}"/>
    <cellStyle name="Normal 2 10 11 2" xfId="135" xr:uid="{00000000-0005-0000-0000-000087000000}"/>
    <cellStyle name="Normal 2 10 11 2 2" xfId="136" xr:uid="{00000000-0005-0000-0000-000088000000}"/>
    <cellStyle name="Normal 2 10 11 2 2 2" xfId="137" xr:uid="{00000000-0005-0000-0000-000089000000}"/>
    <cellStyle name="Normal 2 10 11 2 2 3" xfId="138" xr:uid="{00000000-0005-0000-0000-00008A000000}"/>
    <cellStyle name="Normal 2 10 11 3" xfId="139" xr:uid="{00000000-0005-0000-0000-00008B000000}"/>
    <cellStyle name="Normal 2 10 11 4" xfId="140" xr:uid="{00000000-0005-0000-0000-00008C000000}"/>
    <cellStyle name="Normal 2 10 11 5" xfId="141" xr:uid="{00000000-0005-0000-0000-00008D000000}"/>
    <cellStyle name="Normal 2 10 12" xfId="142" xr:uid="{00000000-0005-0000-0000-00008E000000}"/>
    <cellStyle name="Normal 2 10 2" xfId="143" xr:uid="{00000000-0005-0000-0000-00008F000000}"/>
    <cellStyle name="Normal 2 10 2 2" xfId="144" xr:uid="{00000000-0005-0000-0000-000090000000}"/>
    <cellStyle name="Normal 2 10 3" xfId="145" xr:uid="{00000000-0005-0000-0000-000091000000}"/>
    <cellStyle name="Normal 2 10 3 2" xfId="146" xr:uid="{00000000-0005-0000-0000-000092000000}"/>
    <cellStyle name="Normal 2 10 4" xfId="147" xr:uid="{00000000-0005-0000-0000-000093000000}"/>
    <cellStyle name="Normal 2 10 4 2" xfId="148" xr:uid="{00000000-0005-0000-0000-000094000000}"/>
    <cellStyle name="Normal 2 10 5" xfId="149" xr:uid="{00000000-0005-0000-0000-000095000000}"/>
    <cellStyle name="Normal 2 10 5 2" xfId="150" xr:uid="{00000000-0005-0000-0000-000096000000}"/>
    <cellStyle name="Normal 2 10 6" xfId="151" xr:uid="{00000000-0005-0000-0000-000097000000}"/>
    <cellStyle name="Normal 2 10 6 2" xfId="152" xr:uid="{00000000-0005-0000-0000-000098000000}"/>
    <cellStyle name="Normal 2 10 7" xfId="153" xr:uid="{00000000-0005-0000-0000-000099000000}"/>
    <cellStyle name="Normal 2 10 7 2" xfId="154" xr:uid="{00000000-0005-0000-0000-00009A000000}"/>
    <cellStyle name="Normal 2 10 8" xfId="155" xr:uid="{00000000-0005-0000-0000-00009B000000}"/>
    <cellStyle name="Normal 2 10 8 2" xfId="156" xr:uid="{00000000-0005-0000-0000-00009C000000}"/>
    <cellStyle name="Normal 2 10 9" xfId="157" xr:uid="{00000000-0005-0000-0000-00009D000000}"/>
    <cellStyle name="Normal 2 11" xfId="158" xr:uid="{00000000-0005-0000-0000-00009E000000}"/>
    <cellStyle name="Normal 2 11 10" xfId="159" xr:uid="{00000000-0005-0000-0000-00009F000000}"/>
    <cellStyle name="Normal 2 11 11" xfId="160" xr:uid="{00000000-0005-0000-0000-0000A0000000}"/>
    <cellStyle name="Normal 2 11 2" xfId="161" xr:uid="{00000000-0005-0000-0000-0000A1000000}"/>
    <cellStyle name="Normal 2 11 2 2" xfId="162" xr:uid="{00000000-0005-0000-0000-0000A2000000}"/>
    <cellStyle name="Normal 2 11 3" xfId="163" xr:uid="{00000000-0005-0000-0000-0000A3000000}"/>
    <cellStyle name="Normal 2 11 3 2" xfId="164" xr:uid="{00000000-0005-0000-0000-0000A4000000}"/>
    <cellStyle name="Normal 2 11 4" xfId="165" xr:uid="{00000000-0005-0000-0000-0000A5000000}"/>
    <cellStyle name="Normal 2 11 4 2" xfId="166" xr:uid="{00000000-0005-0000-0000-0000A6000000}"/>
    <cellStyle name="Normal 2 11 5" xfId="167" xr:uid="{00000000-0005-0000-0000-0000A7000000}"/>
    <cellStyle name="Normal 2 11 5 2" xfId="168" xr:uid="{00000000-0005-0000-0000-0000A8000000}"/>
    <cellStyle name="Normal 2 11 6" xfId="169" xr:uid="{00000000-0005-0000-0000-0000A9000000}"/>
    <cellStyle name="Normal 2 11 6 2" xfId="170" xr:uid="{00000000-0005-0000-0000-0000AA000000}"/>
    <cellStyle name="Normal 2 11 7" xfId="171" xr:uid="{00000000-0005-0000-0000-0000AB000000}"/>
    <cellStyle name="Normal 2 11 7 2" xfId="172" xr:uid="{00000000-0005-0000-0000-0000AC000000}"/>
    <cellStyle name="Normal 2 11 8" xfId="173" xr:uid="{00000000-0005-0000-0000-0000AD000000}"/>
    <cellStyle name="Normal 2 11 8 2" xfId="174" xr:uid="{00000000-0005-0000-0000-0000AE000000}"/>
    <cellStyle name="Normal 2 11 9" xfId="175" xr:uid="{00000000-0005-0000-0000-0000AF000000}"/>
    <cellStyle name="Normal 2 12" xfId="176" xr:uid="{00000000-0005-0000-0000-0000B0000000}"/>
    <cellStyle name="Normal 2 13" xfId="177" xr:uid="{00000000-0005-0000-0000-0000B1000000}"/>
    <cellStyle name="Normal 2 14" xfId="178" xr:uid="{00000000-0005-0000-0000-0000B2000000}"/>
    <cellStyle name="Normal 2 15" xfId="179" xr:uid="{00000000-0005-0000-0000-0000B3000000}"/>
    <cellStyle name="Normal 2 16" xfId="180" xr:uid="{00000000-0005-0000-0000-0000B4000000}"/>
    <cellStyle name="Normal 2 17" xfId="181" xr:uid="{00000000-0005-0000-0000-0000B5000000}"/>
    <cellStyle name="Normal 2 17 2" xfId="182" xr:uid="{00000000-0005-0000-0000-0000B6000000}"/>
    <cellStyle name="Normal 2 17 3" xfId="183" xr:uid="{00000000-0005-0000-0000-0000B7000000}"/>
    <cellStyle name="Normal 2 2" xfId="184" xr:uid="{00000000-0005-0000-0000-0000B8000000}"/>
    <cellStyle name="Normal 2 2 10" xfId="185" xr:uid="{00000000-0005-0000-0000-0000B9000000}"/>
    <cellStyle name="Normal 2 2 10 2" xfId="186" xr:uid="{00000000-0005-0000-0000-0000BA000000}"/>
    <cellStyle name="Normal 2 2 11" xfId="187" xr:uid="{00000000-0005-0000-0000-0000BB000000}"/>
    <cellStyle name="Normal 2 2 11 2" xfId="188" xr:uid="{00000000-0005-0000-0000-0000BC000000}"/>
    <cellStyle name="Normal 2 2 12" xfId="189" xr:uid="{00000000-0005-0000-0000-0000BD000000}"/>
    <cellStyle name="Normal 2 2 12 2" xfId="190" xr:uid="{00000000-0005-0000-0000-0000BE000000}"/>
    <cellStyle name="Normal 2 2 12 2 2" xfId="191" xr:uid="{00000000-0005-0000-0000-0000BF000000}"/>
    <cellStyle name="Normal 2 2 12 2 3" xfId="192" xr:uid="{00000000-0005-0000-0000-0000C0000000}"/>
    <cellStyle name="Normal 2 2 12 2 4" xfId="193" xr:uid="{00000000-0005-0000-0000-0000C1000000}"/>
    <cellStyle name="Normal 2 2 12 3" xfId="194" xr:uid="{00000000-0005-0000-0000-0000C2000000}"/>
    <cellStyle name="Normal 2 2 12 4" xfId="195" xr:uid="{00000000-0005-0000-0000-0000C3000000}"/>
    <cellStyle name="Normal 2 2 13" xfId="196" xr:uid="{00000000-0005-0000-0000-0000C4000000}"/>
    <cellStyle name="Normal 2 2 13 2" xfId="197" xr:uid="{00000000-0005-0000-0000-0000C5000000}"/>
    <cellStyle name="Normal 2 2 13 2 2" xfId="198" xr:uid="{00000000-0005-0000-0000-0000C6000000}"/>
    <cellStyle name="Normal 2 2 13 2 3" xfId="199" xr:uid="{00000000-0005-0000-0000-0000C7000000}"/>
    <cellStyle name="Normal 2 2 13 2 4" xfId="200" xr:uid="{00000000-0005-0000-0000-0000C8000000}"/>
    <cellStyle name="Normal 2 2 13 3" xfId="201" xr:uid="{00000000-0005-0000-0000-0000C9000000}"/>
    <cellStyle name="Normal 2 2 13 4" xfId="202" xr:uid="{00000000-0005-0000-0000-0000CA000000}"/>
    <cellStyle name="Normal 2 2 14" xfId="203" xr:uid="{00000000-0005-0000-0000-0000CB000000}"/>
    <cellStyle name="Normal 2 2 14 2" xfId="204" xr:uid="{00000000-0005-0000-0000-0000CC000000}"/>
    <cellStyle name="Normal 2 2 15" xfId="205" xr:uid="{00000000-0005-0000-0000-0000CD000000}"/>
    <cellStyle name="Normal 2 2 15 2" xfId="206" xr:uid="{00000000-0005-0000-0000-0000CE000000}"/>
    <cellStyle name="Normal 2 2 16" xfId="207" xr:uid="{00000000-0005-0000-0000-0000CF000000}"/>
    <cellStyle name="Normal 2 2 16 2" xfId="208" xr:uid="{00000000-0005-0000-0000-0000D0000000}"/>
    <cellStyle name="Normal 2 2 16 3" xfId="209" xr:uid="{00000000-0005-0000-0000-0000D1000000}"/>
    <cellStyle name="Normal 2 2 17" xfId="210" xr:uid="{00000000-0005-0000-0000-0000D2000000}"/>
    <cellStyle name="Normal 2 2 18" xfId="211" xr:uid="{00000000-0005-0000-0000-0000D3000000}"/>
    <cellStyle name="Normal 2 2 19" xfId="212" xr:uid="{00000000-0005-0000-0000-0000D4000000}"/>
    <cellStyle name="Normal 2 2 2" xfId="213" xr:uid="{00000000-0005-0000-0000-0000D5000000}"/>
    <cellStyle name="Normal 2 2 2 2" xfId="214" xr:uid="{00000000-0005-0000-0000-0000D6000000}"/>
    <cellStyle name="Normal 2 2 2 2 2" xfId="215" xr:uid="{00000000-0005-0000-0000-0000D7000000}"/>
    <cellStyle name="Normal 2 2 2 2 3" xfId="216" xr:uid="{00000000-0005-0000-0000-0000D8000000}"/>
    <cellStyle name="Normal 2 2 2 2 3 2" xfId="217" xr:uid="{00000000-0005-0000-0000-0000D9000000}"/>
    <cellStyle name="Normal 2 2 2 2 3 3" xfId="218" xr:uid="{00000000-0005-0000-0000-0000DA000000}"/>
    <cellStyle name="Normal 2 2 2 3" xfId="219" xr:uid="{00000000-0005-0000-0000-0000DB000000}"/>
    <cellStyle name="Normal 2 2 2 3 2" xfId="220" xr:uid="{00000000-0005-0000-0000-0000DC000000}"/>
    <cellStyle name="Normal 2 2 2 3 3" xfId="221" xr:uid="{00000000-0005-0000-0000-0000DD000000}"/>
    <cellStyle name="Normal 2 2 2 3 4" xfId="222" xr:uid="{00000000-0005-0000-0000-0000DE000000}"/>
    <cellStyle name="Normal 2 2 2 4" xfId="223" xr:uid="{00000000-0005-0000-0000-0000DF000000}"/>
    <cellStyle name="Normal 2 2 2 4 2" xfId="224" xr:uid="{00000000-0005-0000-0000-0000E0000000}"/>
    <cellStyle name="Normal 2 2 2 5" xfId="225" xr:uid="{00000000-0005-0000-0000-0000E1000000}"/>
    <cellStyle name="Normal 2 2 2 5 2" xfId="226" xr:uid="{00000000-0005-0000-0000-0000E2000000}"/>
    <cellStyle name="Normal 2 2 2 5 3" xfId="227" xr:uid="{00000000-0005-0000-0000-0000E3000000}"/>
    <cellStyle name="Normal 2 2 2 5 4" xfId="228" xr:uid="{00000000-0005-0000-0000-0000E4000000}"/>
    <cellStyle name="Normal 2 2 2 6" xfId="229" xr:uid="{00000000-0005-0000-0000-0000E5000000}"/>
    <cellStyle name="Normal 2 2 2 6 2" xfId="230" xr:uid="{00000000-0005-0000-0000-0000E6000000}"/>
    <cellStyle name="Normal 2 2 2 7" xfId="231" xr:uid="{00000000-0005-0000-0000-0000E7000000}"/>
    <cellStyle name="Normal 2 2 2 7 2" xfId="232" xr:uid="{00000000-0005-0000-0000-0000E8000000}"/>
    <cellStyle name="Normal 2 2 2 7 3" xfId="233" xr:uid="{00000000-0005-0000-0000-0000E9000000}"/>
    <cellStyle name="Normal 2 2 2 8" xfId="234" xr:uid="{00000000-0005-0000-0000-0000EA000000}"/>
    <cellStyle name="Normal 2 2 20" xfId="235" xr:uid="{00000000-0005-0000-0000-0000EB000000}"/>
    <cellStyle name="Normal 2 2 21" xfId="236" xr:uid="{00000000-0005-0000-0000-0000EC000000}"/>
    <cellStyle name="Normal 2 2 22" xfId="237" xr:uid="{00000000-0005-0000-0000-0000ED000000}"/>
    <cellStyle name="Normal 2 2 3" xfId="238" xr:uid="{00000000-0005-0000-0000-0000EE000000}"/>
    <cellStyle name="Normal 2 2 3 2" xfId="239" xr:uid="{00000000-0005-0000-0000-0000EF000000}"/>
    <cellStyle name="Normal 2 2 4" xfId="240" xr:uid="{00000000-0005-0000-0000-0000F0000000}"/>
    <cellStyle name="Normal 2 2 4 2" xfId="241" xr:uid="{00000000-0005-0000-0000-0000F1000000}"/>
    <cellStyle name="Normal 2 2 5" xfId="242" xr:uid="{00000000-0005-0000-0000-0000F2000000}"/>
    <cellStyle name="Normal 2 2 5 2" xfId="243" xr:uid="{00000000-0005-0000-0000-0000F3000000}"/>
    <cellStyle name="Normal 2 2 6" xfId="244" xr:uid="{00000000-0005-0000-0000-0000F4000000}"/>
    <cellStyle name="Normal 2 2 6 2" xfId="245" xr:uid="{00000000-0005-0000-0000-0000F5000000}"/>
    <cellStyle name="Normal 2 2 7" xfId="246" xr:uid="{00000000-0005-0000-0000-0000F6000000}"/>
    <cellStyle name="Normal 2 2 7 2" xfId="247" xr:uid="{00000000-0005-0000-0000-0000F7000000}"/>
    <cellStyle name="Normal 2 2 8" xfId="248" xr:uid="{00000000-0005-0000-0000-0000F8000000}"/>
    <cellStyle name="Normal 2 2 8 2" xfId="249" xr:uid="{00000000-0005-0000-0000-0000F9000000}"/>
    <cellStyle name="Normal 2 2 9" xfId="250" xr:uid="{00000000-0005-0000-0000-0000FA000000}"/>
    <cellStyle name="Normal 2 2 9 2" xfId="251" xr:uid="{00000000-0005-0000-0000-0000FB000000}"/>
    <cellStyle name="Normal 2 3" xfId="252" xr:uid="{00000000-0005-0000-0000-0000FC000000}"/>
    <cellStyle name="Normal 2 3 10" xfId="253" xr:uid="{00000000-0005-0000-0000-0000FD000000}"/>
    <cellStyle name="Normal 2 3 11" xfId="254" xr:uid="{00000000-0005-0000-0000-0000FE000000}"/>
    <cellStyle name="Normal 2 3 12" xfId="255" xr:uid="{00000000-0005-0000-0000-0000FF000000}"/>
    <cellStyle name="Normal 2 3 13" xfId="256" xr:uid="{00000000-0005-0000-0000-000000010000}"/>
    <cellStyle name="Normal 2 3 14" xfId="257" xr:uid="{00000000-0005-0000-0000-000001010000}"/>
    <cellStyle name="Normal 2 3 15" xfId="258" xr:uid="{00000000-0005-0000-0000-000002010000}"/>
    <cellStyle name="Normal 2 3 2" xfId="259" xr:uid="{00000000-0005-0000-0000-000003010000}"/>
    <cellStyle name="Normal 2 3 2 2" xfId="260" xr:uid="{00000000-0005-0000-0000-000004010000}"/>
    <cellStyle name="Normal 2 3 2 2 2" xfId="261" xr:uid="{00000000-0005-0000-0000-000005010000}"/>
    <cellStyle name="Normal 2 3 2 2 3" xfId="262" xr:uid="{00000000-0005-0000-0000-000006010000}"/>
    <cellStyle name="Normal 2 3 2 3" xfId="263" xr:uid="{00000000-0005-0000-0000-000007010000}"/>
    <cellStyle name="Normal 2 3 2 4" xfId="264" xr:uid="{00000000-0005-0000-0000-000008010000}"/>
    <cellStyle name="Normal 2 3 2 5" xfId="265" xr:uid="{00000000-0005-0000-0000-000009010000}"/>
    <cellStyle name="Normal 2 3 3" xfId="266" xr:uid="{00000000-0005-0000-0000-00000A010000}"/>
    <cellStyle name="Normal 2 3 3 2" xfId="267" xr:uid="{00000000-0005-0000-0000-00000B010000}"/>
    <cellStyle name="Normal 2 3 3 3" xfId="268" xr:uid="{00000000-0005-0000-0000-00000C010000}"/>
    <cellStyle name="Normal 2 3 4" xfId="269" xr:uid="{00000000-0005-0000-0000-00000D010000}"/>
    <cellStyle name="Normal 2 3 5" xfId="270" xr:uid="{00000000-0005-0000-0000-00000E010000}"/>
    <cellStyle name="Normal 2 3 6" xfId="271" xr:uid="{00000000-0005-0000-0000-00000F010000}"/>
    <cellStyle name="Normal 2 3 7" xfId="272" xr:uid="{00000000-0005-0000-0000-000010010000}"/>
    <cellStyle name="Normal 2 3 8" xfId="273" xr:uid="{00000000-0005-0000-0000-000011010000}"/>
    <cellStyle name="Normal 2 3 9" xfId="274" xr:uid="{00000000-0005-0000-0000-000012010000}"/>
    <cellStyle name="Normal 2 4" xfId="275" xr:uid="{00000000-0005-0000-0000-000013010000}"/>
    <cellStyle name="Normal 2 4 10" xfId="276" xr:uid="{00000000-0005-0000-0000-000014010000}"/>
    <cellStyle name="Normal 2 4 11" xfId="277" xr:uid="{00000000-0005-0000-0000-000015010000}"/>
    <cellStyle name="Normal 2 4 12" xfId="278" xr:uid="{00000000-0005-0000-0000-000016010000}"/>
    <cellStyle name="Normal 2 4 12 2" xfId="279" xr:uid="{00000000-0005-0000-0000-000017010000}"/>
    <cellStyle name="Normal 2 4 12 3" xfId="280" xr:uid="{00000000-0005-0000-0000-000018010000}"/>
    <cellStyle name="Normal 2 4 13" xfId="281" xr:uid="{00000000-0005-0000-0000-000019010000}"/>
    <cellStyle name="Normal 2 4 13 2" xfId="282" xr:uid="{00000000-0005-0000-0000-00001A010000}"/>
    <cellStyle name="Normal 2 4 13 3" xfId="283" xr:uid="{00000000-0005-0000-0000-00001B010000}"/>
    <cellStyle name="Normal 2 4 2" xfId="284" xr:uid="{00000000-0005-0000-0000-00001C010000}"/>
    <cellStyle name="Normal 2 4 2 2" xfId="285" xr:uid="{00000000-0005-0000-0000-00001D010000}"/>
    <cellStyle name="Normal 2 4 2 2 2" xfId="286" xr:uid="{00000000-0005-0000-0000-00001E010000}"/>
    <cellStyle name="Normal 2 4 2 2 3" xfId="287" xr:uid="{00000000-0005-0000-0000-00001F010000}"/>
    <cellStyle name="Normal 2 4 2 3" xfId="288" xr:uid="{00000000-0005-0000-0000-000020010000}"/>
    <cellStyle name="Normal 2 4 2 4" xfId="289" xr:uid="{00000000-0005-0000-0000-000021010000}"/>
    <cellStyle name="Normal 2 4 2 5" xfId="290" xr:uid="{00000000-0005-0000-0000-000022010000}"/>
    <cellStyle name="Normal 2 4 3" xfId="291" xr:uid="{00000000-0005-0000-0000-000023010000}"/>
    <cellStyle name="Normal 2 4 3 2" xfId="292" xr:uid="{00000000-0005-0000-0000-000024010000}"/>
    <cellStyle name="Normal 2 4 3 3" xfId="293" xr:uid="{00000000-0005-0000-0000-000025010000}"/>
    <cellStyle name="Normal 2 4 4" xfId="294" xr:uid="{00000000-0005-0000-0000-000026010000}"/>
    <cellStyle name="Normal 2 4 5" xfId="295" xr:uid="{00000000-0005-0000-0000-000027010000}"/>
    <cellStyle name="Normal 2 4 6" xfId="296" xr:uid="{00000000-0005-0000-0000-000028010000}"/>
    <cellStyle name="Normal 2 4 7" xfId="297" xr:uid="{00000000-0005-0000-0000-000029010000}"/>
    <cellStyle name="Normal 2 4 8" xfId="298" xr:uid="{00000000-0005-0000-0000-00002A010000}"/>
    <cellStyle name="Normal 2 4 9" xfId="299" xr:uid="{00000000-0005-0000-0000-00002B010000}"/>
    <cellStyle name="Normal 2 5" xfId="300" xr:uid="{00000000-0005-0000-0000-00002C010000}"/>
    <cellStyle name="Normal 2 5 10" xfId="301" xr:uid="{00000000-0005-0000-0000-00002D010000}"/>
    <cellStyle name="Normal 2 5 11" xfId="302" xr:uid="{00000000-0005-0000-0000-00002E010000}"/>
    <cellStyle name="Normal 2 5 12" xfId="303" xr:uid="{00000000-0005-0000-0000-00002F010000}"/>
    <cellStyle name="Normal 2 5 12 2" xfId="304" xr:uid="{00000000-0005-0000-0000-000030010000}"/>
    <cellStyle name="Normal 2 5 12 3" xfId="305" xr:uid="{00000000-0005-0000-0000-000031010000}"/>
    <cellStyle name="Normal 2 5 2" xfId="306" xr:uid="{00000000-0005-0000-0000-000032010000}"/>
    <cellStyle name="Normal 2 5 2 2" xfId="307" xr:uid="{00000000-0005-0000-0000-000033010000}"/>
    <cellStyle name="Normal 2 5 3" xfId="308" xr:uid="{00000000-0005-0000-0000-000034010000}"/>
    <cellStyle name="Normal 2 5 3 2" xfId="309" xr:uid="{00000000-0005-0000-0000-000035010000}"/>
    <cellStyle name="Normal 2 5 4" xfId="310" xr:uid="{00000000-0005-0000-0000-000036010000}"/>
    <cellStyle name="Normal 2 5 5" xfId="311" xr:uid="{00000000-0005-0000-0000-000037010000}"/>
    <cellStyle name="Normal 2 5 6" xfId="312" xr:uid="{00000000-0005-0000-0000-000038010000}"/>
    <cellStyle name="Normal 2 5 7" xfId="313" xr:uid="{00000000-0005-0000-0000-000039010000}"/>
    <cellStyle name="Normal 2 5 8" xfId="314" xr:uid="{00000000-0005-0000-0000-00003A010000}"/>
    <cellStyle name="Normal 2 5 9" xfId="315" xr:uid="{00000000-0005-0000-0000-00003B010000}"/>
    <cellStyle name="Normal 2 6" xfId="316" xr:uid="{00000000-0005-0000-0000-00003C010000}"/>
    <cellStyle name="Normal 2 6 10" xfId="317" xr:uid="{00000000-0005-0000-0000-00003D010000}"/>
    <cellStyle name="Normal 2 6 11" xfId="318" xr:uid="{00000000-0005-0000-0000-00003E010000}"/>
    <cellStyle name="Normal 2 6 12" xfId="319" xr:uid="{00000000-0005-0000-0000-00003F010000}"/>
    <cellStyle name="Normal 2 6 2" xfId="320" xr:uid="{00000000-0005-0000-0000-000040010000}"/>
    <cellStyle name="Normal 2 6 2 2" xfId="321" xr:uid="{00000000-0005-0000-0000-000041010000}"/>
    <cellStyle name="Normal 2 6 3" xfId="322" xr:uid="{00000000-0005-0000-0000-000042010000}"/>
    <cellStyle name="Normal 2 6 3 2" xfId="323" xr:uid="{00000000-0005-0000-0000-000043010000}"/>
    <cellStyle name="Normal 2 6 4" xfId="324" xr:uid="{00000000-0005-0000-0000-000044010000}"/>
    <cellStyle name="Normal 2 6 5" xfId="325" xr:uid="{00000000-0005-0000-0000-000045010000}"/>
    <cellStyle name="Normal 2 6 6" xfId="326" xr:uid="{00000000-0005-0000-0000-000046010000}"/>
    <cellStyle name="Normal 2 6 7" xfId="327" xr:uid="{00000000-0005-0000-0000-000047010000}"/>
    <cellStyle name="Normal 2 6 8" xfId="328" xr:uid="{00000000-0005-0000-0000-000048010000}"/>
    <cellStyle name="Normal 2 6 9" xfId="329" xr:uid="{00000000-0005-0000-0000-000049010000}"/>
    <cellStyle name="Normal 2 7" xfId="330" xr:uid="{00000000-0005-0000-0000-00004A010000}"/>
    <cellStyle name="Normal 2 7 10" xfId="331" xr:uid="{00000000-0005-0000-0000-00004B010000}"/>
    <cellStyle name="Normal 2 7 11" xfId="332" xr:uid="{00000000-0005-0000-0000-00004C010000}"/>
    <cellStyle name="Normal 2 7 2" xfId="333" xr:uid="{00000000-0005-0000-0000-00004D010000}"/>
    <cellStyle name="Normal 2 7 2 2" xfId="334" xr:uid="{00000000-0005-0000-0000-00004E010000}"/>
    <cellStyle name="Normal 2 7 2 3" xfId="335" xr:uid="{00000000-0005-0000-0000-00004F010000}"/>
    <cellStyle name="Normal 2 7 3" xfId="336" xr:uid="{00000000-0005-0000-0000-000050010000}"/>
    <cellStyle name="Normal 2 7 3 2" xfId="337" xr:uid="{00000000-0005-0000-0000-000051010000}"/>
    <cellStyle name="Normal 2 7 4" xfId="338" xr:uid="{00000000-0005-0000-0000-000052010000}"/>
    <cellStyle name="Normal 2 7 4 2" xfId="339" xr:uid="{00000000-0005-0000-0000-000053010000}"/>
    <cellStyle name="Normal 2 7 5" xfId="340" xr:uid="{00000000-0005-0000-0000-000054010000}"/>
    <cellStyle name="Normal 2 7 5 2" xfId="341" xr:uid="{00000000-0005-0000-0000-000055010000}"/>
    <cellStyle name="Normal 2 7 6" xfId="342" xr:uid="{00000000-0005-0000-0000-000056010000}"/>
    <cellStyle name="Normal 2 7 6 2" xfId="343" xr:uid="{00000000-0005-0000-0000-000057010000}"/>
    <cellStyle name="Normal 2 7 7" xfId="344" xr:uid="{00000000-0005-0000-0000-000058010000}"/>
    <cellStyle name="Normal 2 7 7 2" xfId="345" xr:uid="{00000000-0005-0000-0000-000059010000}"/>
    <cellStyle name="Normal 2 7 8" xfId="346" xr:uid="{00000000-0005-0000-0000-00005A010000}"/>
    <cellStyle name="Normal 2 7 8 2" xfId="347" xr:uid="{00000000-0005-0000-0000-00005B010000}"/>
    <cellStyle name="Normal 2 7 9" xfId="348" xr:uid="{00000000-0005-0000-0000-00005C010000}"/>
    <cellStyle name="Normal 2 8" xfId="349" xr:uid="{00000000-0005-0000-0000-00005D010000}"/>
    <cellStyle name="Normal 2 8 10" xfId="350" xr:uid="{00000000-0005-0000-0000-00005E010000}"/>
    <cellStyle name="Normal 2 8 11" xfId="351" xr:uid="{00000000-0005-0000-0000-00005F010000}"/>
    <cellStyle name="Normal 2 8 2" xfId="352" xr:uid="{00000000-0005-0000-0000-000060010000}"/>
    <cellStyle name="Normal 2 8 2 2" xfId="353" xr:uid="{00000000-0005-0000-0000-000061010000}"/>
    <cellStyle name="Normal 2 8 3" xfId="354" xr:uid="{00000000-0005-0000-0000-000062010000}"/>
    <cellStyle name="Normal 2 8 3 2" xfId="355" xr:uid="{00000000-0005-0000-0000-000063010000}"/>
    <cellStyle name="Normal 2 8 4" xfId="356" xr:uid="{00000000-0005-0000-0000-000064010000}"/>
    <cellStyle name="Normal 2 8 4 2" xfId="357" xr:uid="{00000000-0005-0000-0000-000065010000}"/>
    <cellStyle name="Normal 2 8 5" xfId="358" xr:uid="{00000000-0005-0000-0000-000066010000}"/>
    <cellStyle name="Normal 2 8 5 2" xfId="359" xr:uid="{00000000-0005-0000-0000-000067010000}"/>
    <cellStyle name="Normal 2 8 6" xfId="360" xr:uid="{00000000-0005-0000-0000-000068010000}"/>
    <cellStyle name="Normal 2 8 6 2" xfId="361" xr:uid="{00000000-0005-0000-0000-000069010000}"/>
    <cellStyle name="Normal 2 8 7" xfId="362" xr:uid="{00000000-0005-0000-0000-00006A010000}"/>
    <cellStyle name="Normal 2 8 7 2" xfId="363" xr:uid="{00000000-0005-0000-0000-00006B010000}"/>
    <cellStyle name="Normal 2 8 8" xfId="364" xr:uid="{00000000-0005-0000-0000-00006C010000}"/>
    <cellStyle name="Normal 2 8 8 2" xfId="365" xr:uid="{00000000-0005-0000-0000-00006D010000}"/>
    <cellStyle name="Normal 2 8 9" xfId="366" xr:uid="{00000000-0005-0000-0000-00006E010000}"/>
    <cellStyle name="Normal 2 9" xfId="367" xr:uid="{00000000-0005-0000-0000-00006F010000}"/>
    <cellStyle name="Normal 2 9 10" xfId="368" xr:uid="{00000000-0005-0000-0000-000070010000}"/>
    <cellStyle name="Normal 2 9 11" xfId="369" xr:uid="{00000000-0005-0000-0000-000071010000}"/>
    <cellStyle name="Normal 2 9 2" xfId="370" xr:uid="{00000000-0005-0000-0000-000072010000}"/>
    <cellStyle name="Normal 2 9 2 2" xfId="371" xr:uid="{00000000-0005-0000-0000-000073010000}"/>
    <cellStyle name="Normal 2 9 3" xfId="372" xr:uid="{00000000-0005-0000-0000-000074010000}"/>
    <cellStyle name="Normal 2 9 3 2" xfId="373" xr:uid="{00000000-0005-0000-0000-000075010000}"/>
    <cellStyle name="Normal 2 9 4" xfId="374" xr:uid="{00000000-0005-0000-0000-000076010000}"/>
    <cellStyle name="Normal 2 9 4 2" xfId="375" xr:uid="{00000000-0005-0000-0000-000077010000}"/>
    <cellStyle name="Normal 2 9 5" xfId="376" xr:uid="{00000000-0005-0000-0000-000078010000}"/>
    <cellStyle name="Normal 2 9 5 2" xfId="377" xr:uid="{00000000-0005-0000-0000-000079010000}"/>
    <cellStyle name="Normal 2 9 6" xfId="378" xr:uid="{00000000-0005-0000-0000-00007A010000}"/>
    <cellStyle name="Normal 2 9 6 2" xfId="379" xr:uid="{00000000-0005-0000-0000-00007B010000}"/>
    <cellStyle name="Normal 2 9 7" xfId="380" xr:uid="{00000000-0005-0000-0000-00007C010000}"/>
    <cellStyle name="Normal 2 9 7 2" xfId="381" xr:uid="{00000000-0005-0000-0000-00007D010000}"/>
    <cellStyle name="Normal 2 9 8" xfId="382" xr:uid="{00000000-0005-0000-0000-00007E010000}"/>
    <cellStyle name="Normal 2 9 8 2" xfId="383" xr:uid="{00000000-0005-0000-0000-00007F010000}"/>
    <cellStyle name="Normal 2 9 9" xfId="384" xr:uid="{00000000-0005-0000-0000-000080010000}"/>
    <cellStyle name="Normal 20" xfId="385" xr:uid="{00000000-0005-0000-0000-000081010000}"/>
    <cellStyle name="Normal 20 2" xfId="386" xr:uid="{00000000-0005-0000-0000-000082010000}"/>
    <cellStyle name="Normal 20 3" xfId="387" xr:uid="{00000000-0005-0000-0000-000083010000}"/>
    <cellStyle name="Normal 21" xfId="388" xr:uid="{00000000-0005-0000-0000-000084010000}"/>
    <cellStyle name="Normal 21 2" xfId="389" xr:uid="{00000000-0005-0000-0000-000085010000}"/>
    <cellStyle name="Normal 21 2 2" xfId="390" xr:uid="{00000000-0005-0000-0000-000086010000}"/>
    <cellStyle name="Normal 21 2 2 2" xfId="533" xr:uid="{C83C9502-6913-410E-9C51-51ECA6269BCC}"/>
    <cellStyle name="Normal 21 2 3" xfId="391" xr:uid="{00000000-0005-0000-0000-000087010000}"/>
    <cellStyle name="Normal 21 2 4" xfId="532" xr:uid="{ECFAD1BC-83D3-42BE-ADFC-8956A929474A}"/>
    <cellStyle name="Normal 21 3" xfId="392" xr:uid="{00000000-0005-0000-0000-000088010000}"/>
    <cellStyle name="Normal 21 4" xfId="393" xr:uid="{00000000-0005-0000-0000-000089010000}"/>
    <cellStyle name="Normal 21 4 2" xfId="534" xr:uid="{70331951-CA23-4C34-AB60-3CBBC4B811D5}"/>
    <cellStyle name="Normal 21 5" xfId="394" xr:uid="{00000000-0005-0000-0000-00008A010000}"/>
    <cellStyle name="Normal 21 6" xfId="531" xr:uid="{0F569782-41B2-46C9-82CC-2E54F7DEDC4E}"/>
    <cellStyle name="Normal 22" xfId="395" xr:uid="{00000000-0005-0000-0000-00008B010000}"/>
    <cellStyle name="Normal 22 2" xfId="396" xr:uid="{00000000-0005-0000-0000-00008C010000}"/>
    <cellStyle name="Normal 22 3" xfId="397" xr:uid="{00000000-0005-0000-0000-00008D010000}"/>
    <cellStyle name="Normal 23" xfId="398" xr:uid="{00000000-0005-0000-0000-00008E010000}"/>
    <cellStyle name="Normal 23 2" xfId="399" xr:uid="{00000000-0005-0000-0000-00008F010000}"/>
    <cellStyle name="Normal 23 3" xfId="400" xr:uid="{00000000-0005-0000-0000-000090010000}"/>
    <cellStyle name="Normal 24" xfId="401" xr:uid="{00000000-0005-0000-0000-000091010000}"/>
    <cellStyle name="Normal 24 2" xfId="402" xr:uid="{00000000-0005-0000-0000-000092010000}"/>
    <cellStyle name="Normal 24 3" xfId="403" xr:uid="{00000000-0005-0000-0000-000093010000}"/>
    <cellStyle name="Normal 25" xfId="404" xr:uid="{00000000-0005-0000-0000-000094010000}"/>
    <cellStyle name="Normal 25 2" xfId="405" xr:uid="{00000000-0005-0000-0000-000095010000}"/>
    <cellStyle name="Normal 25 3" xfId="406" xr:uid="{00000000-0005-0000-0000-000096010000}"/>
    <cellStyle name="Normal 26" xfId="407" xr:uid="{00000000-0005-0000-0000-000097010000}"/>
    <cellStyle name="Normal 26 2" xfId="535" xr:uid="{99C3B4C9-8665-4374-9006-D11D93AD5E8E}"/>
    <cellStyle name="Normal 27" xfId="408" xr:uid="{00000000-0005-0000-0000-000098010000}"/>
    <cellStyle name="Normal 27 2" xfId="409" xr:uid="{00000000-0005-0000-0000-000099010000}"/>
    <cellStyle name="Normal 29" xfId="523" xr:uid="{D6BCF34B-8353-42E6-80DF-54D31FD2FD9B}"/>
    <cellStyle name="Normal 3" xfId="536" xr:uid="{975BA693-828F-4398-A37A-2750D632291A}"/>
    <cellStyle name="Normal 3 10" xfId="410" xr:uid="{00000000-0005-0000-0000-00009A010000}"/>
    <cellStyle name="Normal 3 10 2" xfId="411" xr:uid="{00000000-0005-0000-0000-00009B010000}"/>
    <cellStyle name="Normal 3 10 3" xfId="412" xr:uid="{00000000-0005-0000-0000-00009C010000}"/>
    <cellStyle name="Normal 3 11" xfId="413" xr:uid="{00000000-0005-0000-0000-00009D010000}"/>
    <cellStyle name="Normal 3 12" xfId="414" xr:uid="{00000000-0005-0000-0000-00009E010000}"/>
    <cellStyle name="Normal 3 13" xfId="415" xr:uid="{00000000-0005-0000-0000-00009F010000}"/>
    <cellStyle name="Normal 3 14" xfId="416" xr:uid="{00000000-0005-0000-0000-0000A0010000}"/>
    <cellStyle name="Normal 3 15" xfId="417" xr:uid="{00000000-0005-0000-0000-0000A1010000}"/>
    <cellStyle name="Normal 3 2" xfId="418" xr:uid="{00000000-0005-0000-0000-0000A2010000}"/>
    <cellStyle name="Normal 3 2 2" xfId="419" xr:uid="{00000000-0005-0000-0000-0000A3010000}"/>
    <cellStyle name="Normal 3 2 2 2" xfId="420" xr:uid="{00000000-0005-0000-0000-0000A4010000}"/>
    <cellStyle name="Normal 3 2 2 3" xfId="421" xr:uid="{00000000-0005-0000-0000-0000A5010000}"/>
    <cellStyle name="Normal 3 2 3" xfId="422" xr:uid="{00000000-0005-0000-0000-0000A6010000}"/>
    <cellStyle name="Normal 3 2 4" xfId="423" xr:uid="{00000000-0005-0000-0000-0000A7010000}"/>
    <cellStyle name="Normal 3 2 5" xfId="424" xr:uid="{00000000-0005-0000-0000-0000A8010000}"/>
    <cellStyle name="Normal 3 3" xfId="425" xr:uid="{00000000-0005-0000-0000-0000A9010000}"/>
    <cellStyle name="Normal 3 3 2" xfId="426" xr:uid="{00000000-0005-0000-0000-0000AA010000}"/>
    <cellStyle name="Normal 3 3 2 2" xfId="427" xr:uid="{00000000-0005-0000-0000-0000AB010000}"/>
    <cellStyle name="Normal 3 3 2 3" xfId="428" xr:uid="{00000000-0005-0000-0000-0000AC010000}"/>
    <cellStyle name="Normal 3 3 3" xfId="429" xr:uid="{00000000-0005-0000-0000-0000AD010000}"/>
    <cellStyle name="Normal 3 3 4" xfId="430" xr:uid="{00000000-0005-0000-0000-0000AE010000}"/>
    <cellStyle name="Normal 3 4" xfId="431" xr:uid="{00000000-0005-0000-0000-0000AF010000}"/>
    <cellStyle name="Normal 3 5" xfId="432" xr:uid="{00000000-0005-0000-0000-0000B0010000}"/>
    <cellStyle name="Normal 3 6" xfId="433" xr:uid="{00000000-0005-0000-0000-0000B1010000}"/>
    <cellStyle name="Normal 3 7" xfId="434" xr:uid="{00000000-0005-0000-0000-0000B2010000}"/>
    <cellStyle name="Normal 3 7 2" xfId="435" xr:uid="{00000000-0005-0000-0000-0000B3010000}"/>
    <cellStyle name="Normal 3 7 3" xfId="436" xr:uid="{00000000-0005-0000-0000-0000B4010000}"/>
    <cellStyle name="Normal 3 8" xfId="437" xr:uid="{00000000-0005-0000-0000-0000B5010000}"/>
    <cellStyle name="Normal 3 8 2" xfId="438" xr:uid="{00000000-0005-0000-0000-0000B6010000}"/>
    <cellStyle name="Normal 3 8 3" xfId="439" xr:uid="{00000000-0005-0000-0000-0000B7010000}"/>
    <cellStyle name="Normal 3 9" xfId="440" xr:uid="{00000000-0005-0000-0000-0000B8010000}"/>
    <cellStyle name="Normal 3 9 2" xfId="441" xr:uid="{00000000-0005-0000-0000-0000B9010000}"/>
    <cellStyle name="Normal 3 9 3" xfId="442" xr:uid="{00000000-0005-0000-0000-0000BA010000}"/>
    <cellStyle name="Normal 4" xfId="443" xr:uid="{00000000-0005-0000-0000-0000BB010000}"/>
    <cellStyle name="Normal 4 10" xfId="444" xr:uid="{00000000-0005-0000-0000-0000BC010000}"/>
    <cellStyle name="Normal 4 11" xfId="445" xr:uid="{00000000-0005-0000-0000-0000BD010000}"/>
    <cellStyle name="Normal 4 12" xfId="446" xr:uid="{00000000-0005-0000-0000-0000BE010000}"/>
    <cellStyle name="Normal 4 13" xfId="447" xr:uid="{00000000-0005-0000-0000-0000BF010000}"/>
    <cellStyle name="Normal 4 2" xfId="448" xr:uid="{00000000-0005-0000-0000-0000C0010000}"/>
    <cellStyle name="Normal 4 2 2" xfId="449" xr:uid="{00000000-0005-0000-0000-0000C1010000}"/>
    <cellStyle name="Normal 4 2 2 2" xfId="450" xr:uid="{00000000-0005-0000-0000-0000C2010000}"/>
    <cellStyle name="Normal 4 2 2 3" xfId="451" xr:uid="{00000000-0005-0000-0000-0000C3010000}"/>
    <cellStyle name="Normal 4 2 2 3 2" xfId="452" xr:uid="{00000000-0005-0000-0000-0000C4010000}"/>
    <cellStyle name="Normal 4 2 3" xfId="453" xr:uid="{00000000-0005-0000-0000-0000C5010000}"/>
    <cellStyle name="Normal 4 2 4" xfId="454" xr:uid="{00000000-0005-0000-0000-0000C6010000}"/>
    <cellStyle name="Normal 4 2 5" xfId="455" xr:uid="{00000000-0005-0000-0000-0000C7010000}"/>
    <cellStyle name="Normal 4 3" xfId="456" xr:uid="{00000000-0005-0000-0000-0000C8010000}"/>
    <cellStyle name="Normal 4 3 2" xfId="457" xr:uid="{00000000-0005-0000-0000-0000C9010000}"/>
    <cellStyle name="Normal 4 3 3" xfId="458" xr:uid="{00000000-0005-0000-0000-0000CA010000}"/>
    <cellStyle name="Normal 4 4" xfId="459" xr:uid="{00000000-0005-0000-0000-0000CB010000}"/>
    <cellStyle name="Normal 4 5" xfId="460" xr:uid="{00000000-0005-0000-0000-0000CC010000}"/>
    <cellStyle name="Normal 4 5 2" xfId="461" xr:uid="{00000000-0005-0000-0000-0000CD010000}"/>
    <cellStyle name="Normal 4 5 3" xfId="462" xr:uid="{00000000-0005-0000-0000-0000CE010000}"/>
    <cellStyle name="Normal 4 6" xfId="463" xr:uid="{00000000-0005-0000-0000-0000CF010000}"/>
    <cellStyle name="Normal 4 6 2" xfId="464" xr:uid="{00000000-0005-0000-0000-0000D0010000}"/>
    <cellStyle name="Normal 4 6 3" xfId="465" xr:uid="{00000000-0005-0000-0000-0000D1010000}"/>
    <cellStyle name="Normal 4 7" xfId="466" xr:uid="{00000000-0005-0000-0000-0000D2010000}"/>
    <cellStyle name="Normal 4 8" xfId="467" xr:uid="{00000000-0005-0000-0000-0000D3010000}"/>
    <cellStyle name="Normal 4 9" xfId="468" xr:uid="{00000000-0005-0000-0000-0000D4010000}"/>
    <cellStyle name="Normal 5" xfId="469" xr:uid="{00000000-0005-0000-0000-0000D5010000}"/>
    <cellStyle name="Normal 5 2" xfId="470" xr:uid="{00000000-0005-0000-0000-0000D6010000}"/>
    <cellStyle name="Normal 5 3" xfId="471" xr:uid="{00000000-0005-0000-0000-0000D7010000}"/>
    <cellStyle name="Normal 5 3 2" xfId="472" xr:uid="{00000000-0005-0000-0000-0000D8010000}"/>
    <cellStyle name="Normal 5 3 3" xfId="473" xr:uid="{00000000-0005-0000-0000-0000D9010000}"/>
    <cellStyle name="Normal 5 4" xfId="474" xr:uid="{00000000-0005-0000-0000-0000DA010000}"/>
    <cellStyle name="Normal 5 5" xfId="475" xr:uid="{00000000-0005-0000-0000-0000DB010000}"/>
    <cellStyle name="Normal 5 5 2" xfId="476" xr:uid="{00000000-0005-0000-0000-0000DC010000}"/>
    <cellStyle name="Normal 5 5 3" xfId="477" xr:uid="{00000000-0005-0000-0000-0000DD010000}"/>
    <cellStyle name="Normal 5 6" xfId="478" xr:uid="{00000000-0005-0000-0000-0000DE010000}"/>
    <cellStyle name="Normal 5 7" xfId="522" xr:uid="{2AEAD001-1CE0-4A7F-8F73-0013F86D6F1D}"/>
    <cellStyle name="Normal 6" xfId="479" xr:uid="{00000000-0005-0000-0000-0000DF010000}"/>
    <cellStyle name="Normal 6 2" xfId="480" xr:uid="{00000000-0005-0000-0000-0000E0010000}"/>
    <cellStyle name="Normal 6 3" xfId="481" xr:uid="{00000000-0005-0000-0000-0000E1010000}"/>
    <cellStyle name="Normal 6 4" xfId="482" xr:uid="{00000000-0005-0000-0000-0000E2010000}"/>
    <cellStyle name="Normal 6 5" xfId="483" xr:uid="{00000000-0005-0000-0000-0000E3010000}"/>
    <cellStyle name="Normal 7" xfId="484" xr:uid="{00000000-0005-0000-0000-0000E4010000}"/>
    <cellStyle name="Normal 7 2" xfId="485" xr:uid="{00000000-0005-0000-0000-0000E5010000}"/>
    <cellStyle name="Normal 7 2 2" xfId="486" xr:uid="{00000000-0005-0000-0000-0000E6010000}"/>
    <cellStyle name="Normal 7 2 2 2" xfId="487" xr:uid="{00000000-0005-0000-0000-0000E7010000}"/>
    <cellStyle name="Normal 7 2 2 3" xfId="488" xr:uid="{00000000-0005-0000-0000-0000E8010000}"/>
    <cellStyle name="Normal 7 2 3" xfId="489" xr:uid="{00000000-0005-0000-0000-0000E9010000}"/>
    <cellStyle name="Normal 7 2 4" xfId="490" xr:uid="{00000000-0005-0000-0000-0000EA010000}"/>
    <cellStyle name="Normal 7 2 4 2" xfId="491" xr:uid="{00000000-0005-0000-0000-0000EB010000}"/>
    <cellStyle name="Normal 7 2 4 3" xfId="492" xr:uid="{00000000-0005-0000-0000-0000EC010000}"/>
    <cellStyle name="Normal 7 2 5" xfId="493" xr:uid="{00000000-0005-0000-0000-0000ED010000}"/>
    <cellStyle name="Normal 7 3" xfId="494" xr:uid="{00000000-0005-0000-0000-0000EE010000}"/>
    <cellStyle name="Normal 7 4" xfId="495" xr:uid="{00000000-0005-0000-0000-0000EF010000}"/>
    <cellStyle name="Normal 7 4 2" xfId="496" xr:uid="{00000000-0005-0000-0000-0000F0010000}"/>
    <cellStyle name="Normal 7 4 3" xfId="497" xr:uid="{00000000-0005-0000-0000-0000F1010000}"/>
    <cellStyle name="Normal 7 5" xfId="498" xr:uid="{00000000-0005-0000-0000-0000F2010000}"/>
    <cellStyle name="Normal 7 5 2" xfId="499" xr:uid="{00000000-0005-0000-0000-0000F3010000}"/>
    <cellStyle name="Normal 7 5 3" xfId="500" xr:uid="{00000000-0005-0000-0000-0000F4010000}"/>
    <cellStyle name="Normal 7 5 4" xfId="501" xr:uid="{00000000-0005-0000-0000-0000F5010000}"/>
    <cellStyle name="Normal 7 5 5" xfId="502" xr:uid="{00000000-0005-0000-0000-0000F6010000}"/>
    <cellStyle name="Normal 7 6" xfId="503" xr:uid="{00000000-0005-0000-0000-0000F7010000}"/>
    <cellStyle name="Normal 7 7" xfId="504" xr:uid="{00000000-0005-0000-0000-0000F8010000}"/>
    <cellStyle name="Normal 8" xfId="505" xr:uid="{00000000-0005-0000-0000-0000F9010000}"/>
    <cellStyle name="Normal 8 2" xfId="506" xr:uid="{00000000-0005-0000-0000-0000FA010000}"/>
    <cellStyle name="Normal 8 3" xfId="507" xr:uid="{00000000-0005-0000-0000-0000FB010000}"/>
    <cellStyle name="Normal 9" xfId="508" xr:uid="{00000000-0005-0000-0000-0000FC010000}"/>
    <cellStyle name="Normal 9 2" xfId="509" xr:uid="{00000000-0005-0000-0000-0000FD010000}"/>
    <cellStyle name="Normal 9 2 2" xfId="510" xr:uid="{00000000-0005-0000-0000-0000FE010000}"/>
    <cellStyle name="Normal 9 2 3" xfId="511" xr:uid="{00000000-0005-0000-0000-0000FF010000}"/>
    <cellStyle name="Normal 9 3" xfId="512" xr:uid="{00000000-0005-0000-0000-000000020000}"/>
    <cellStyle name="Normal 9 4" xfId="513" xr:uid="{00000000-0005-0000-0000-000001020000}"/>
    <cellStyle name="Normal 9 5" xfId="514" xr:uid="{00000000-0005-0000-0000-000002020000}"/>
    <cellStyle name="Normal 9 5 2" xfId="515" xr:uid="{00000000-0005-0000-0000-000003020000}"/>
    <cellStyle name="Normal 9 5 3" xfId="516" xr:uid="{00000000-0005-0000-0000-000004020000}"/>
    <cellStyle name="Normal 9 6" xfId="517" xr:uid="{00000000-0005-0000-0000-000005020000}"/>
    <cellStyle name="Normal 9 6 2" xfId="518" xr:uid="{00000000-0005-0000-0000-000006020000}"/>
    <cellStyle name="Normal 9 6 3" xfId="519" xr:uid="{00000000-0005-0000-0000-000007020000}"/>
    <cellStyle name="Normal_debt" xfId="520" xr:uid="{00000000-0005-0000-0000-000008020000}"/>
    <cellStyle name="Normal_lpform" xfId="521" xr:uid="{00000000-0005-0000-0000-000009020000}"/>
  </cellStyles>
  <dxfs count="115">
    <dxf>
      <font>
        <b/>
        <i val="0"/>
        <strike val="0"/>
      </font>
      <fill>
        <patternFill>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35718</xdr:rowOff>
    </xdr:from>
    <xdr:to>
      <xdr:col>1</xdr:col>
      <xdr:colOff>209550</xdr:colOff>
      <xdr:row>18</xdr:row>
      <xdr:rowOff>188118</xdr:rowOff>
    </xdr:to>
    <xdr:sp macro="" textlink="">
      <xdr:nvSpPr>
        <xdr:cNvPr id="2" name="Text Box 2">
          <a:extLst>
            <a:ext uri="{FF2B5EF4-FFF2-40B4-BE49-F238E27FC236}">
              <a16:creationId xmlns:a16="http://schemas.microsoft.com/office/drawing/2014/main" id="{BFAF4310-6A8D-4BC7-9BF0-AFB2BBA710B4}"/>
            </a:ext>
          </a:extLst>
        </xdr:cNvPr>
        <xdr:cNvSpPr txBox="1"/>
      </xdr:nvSpPr>
      <xdr:spPr>
        <a:xfrm>
          <a:off x="107156" y="6060281"/>
          <a:ext cx="209550" cy="152400"/>
        </a:xfrm>
        <a:prstGeom prst="rect">
          <a:avLst/>
        </a:prstGeom>
        <a:solidFill>
          <a:srgbClr val="00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1</xdr:col>
      <xdr:colOff>0</xdr:colOff>
      <xdr:row>20</xdr:row>
      <xdr:rowOff>59530</xdr:rowOff>
    </xdr:from>
    <xdr:to>
      <xdr:col>1</xdr:col>
      <xdr:colOff>209550</xdr:colOff>
      <xdr:row>20</xdr:row>
      <xdr:rowOff>211930</xdr:rowOff>
    </xdr:to>
    <xdr:sp macro="" textlink="">
      <xdr:nvSpPr>
        <xdr:cNvPr id="3" name="Text Box 5">
          <a:extLst>
            <a:ext uri="{FF2B5EF4-FFF2-40B4-BE49-F238E27FC236}">
              <a16:creationId xmlns:a16="http://schemas.microsoft.com/office/drawing/2014/main" id="{E72700D2-ABC7-498C-B411-19A235D244F3}"/>
            </a:ext>
          </a:extLst>
        </xdr:cNvPr>
        <xdr:cNvSpPr txBox="1">
          <a:spLocks noChangeArrowheads="1"/>
        </xdr:cNvSpPr>
      </xdr:nvSpPr>
      <xdr:spPr bwMode="auto">
        <a:xfrm>
          <a:off x="107156" y="6453186"/>
          <a:ext cx="209550" cy="152400"/>
        </a:xfrm>
        <a:prstGeom prst="rect">
          <a:avLst/>
        </a:prstGeom>
        <a:solidFill>
          <a:srgbClr val="FFF2CC"/>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a:t>
          </a:r>
        </a:p>
      </xdr:txBody>
    </xdr:sp>
    <xdr:clientData/>
  </xdr:twoCellAnchor>
  <xdr:twoCellAnchor>
    <xdr:from>
      <xdr:col>1</xdr:col>
      <xdr:colOff>0</xdr:colOff>
      <xdr:row>22</xdr:row>
      <xdr:rowOff>23812</xdr:rowOff>
    </xdr:from>
    <xdr:to>
      <xdr:col>1</xdr:col>
      <xdr:colOff>209550</xdr:colOff>
      <xdr:row>22</xdr:row>
      <xdr:rowOff>176212</xdr:rowOff>
    </xdr:to>
    <xdr:sp macro="" textlink="">
      <xdr:nvSpPr>
        <xdr:cNvPr id="4" name="Text Box 6">
          <a:extLst>
            <a:ext uri="{FF2B5EF4-FFF2-40B4-BE49-F238E27FC236}">
              <a16:creationId xmlns:a16="http://schemas.microsoft.com/office/drawing/2014/main" id="{3353F5C3-FA88-44CD-A2C4-5B5F994BDFE4}"/>
            </a:ext>
          </a:extLst>
        </xdr:cNvPr>
        <xdr:cNvSpPr txBox="1"/>
      </xdr:nvSpPr>
      <xdr:spPr>
        <a:xfrm>
          <a:off x="107156" y="7667625"/>
          <a:ext cx="209550" cy="152400"/>
        </a:xfrm>
        <a:prstGeom prst="rect">
          <a:avLst/>
        </a:prstGeom>
        <a:solidFill>
          <a:srgbClr val="00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1</xdr:col>
      <xdr:colOff>0</xdr:colOff>
      <xdr:row>24</xdr:row>
      <xdr:rowOff>35718</xdr:rowOff>
    </xdr:from>
    <xdr:to>
      <xdr:col>1</xdr:col>
      <xdr:colOff>209550</xdr:colOff>
      <xdr:row>24</xdr:row>
      <xdr:rowOff>188118</xdr:rowOff>
    </xdr:to>
    <xdr:sp macro="" textlink="">
      <xdr:nvSpPr>
        <xdr:cNvPr id="5" name="Text Box 7">
          <a:extLst>
            <a:ext uri="{FF2B5EF4-FFF2-40B4-BE49-F238E27FC236}">
              <a16:creationId xmlns:a16="http://schemas.microsoft.com/office/drawing/2014/main" id="{62CF4C64-AC45-4554-B0B2-395541064419}"/>
            </a:ext>
          </a:extLst>
        </xdr:cNvPr>
        <xdr:cNvSpPr txBox="1"/>
      </xdr:nvSpPr>
      <xdr:spPr>
        <a:xfrm>
          <a:off x="107156" y="8048624"/>
          <a:ext cx="209550" cy="152400"/>
        </a:xfrm>
        <a:prstGeom prst="rect">
          <a:avLst/>
        </a:prstGeom>
        <a:solidFill>
          <a:srgbClr val="FF00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124724</xdr:colOff>
      <xdr:row>52</xdr:row>
      <xdr:rowOff>152400</xdr:rowOff>
    </xdr:to>
    <xdr:pic>
      <xdr:nvPicPr>
        <xdr:cNvPr id="3" name="Picture 2">
          <a:extLst>
            <a:ext uri="{FF2B5EF4-FFF2-40B4-BE49-F238E27FC236}">
              <a16:creationId xmlns:a16="http://schemas.microsoft.com/office/drawing/2014/main" id="{94AAB51D-FB9A-99DF-F7CE-DA4F4808B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44724" cy="1005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66674</xdr:colOff>
      <xdr:row>0</xdr:row>
      <xdr:rowOff>0</xdr:rowOff>
    </xdr:from>
    <xdr:to>
      <xdr:col>10</xdr:col>
      <xdr:colOff>9525</xdr:colOff>
      <xdr:row>39</xdr:row>
      <xdr:rowOff>9525</xdr:rowOff>
    </xdr:to>
    <xdr:pic>
      <xdr:nvPicPr>
        <xdr:cNvPr id="2" name="Picture 1">
          <a:extLst>
            <a:ext uri="{FF2B5EF4-FFF2-40B4-BE49-F238E27FC236}">
              <a16:creationId xmlns:a16="http://schemas.microsoft.com/office/drawing/2014/main" id="{E00C3D95-6029-4DC0-A993-69C15F56DE79}"/>
            </a:ext>
          </a:extLst>
        </xdr:cNvPr>
        <xdr:cNvPicPr>
          <a:picLocks noChangeAspect="1"/>
        </xdr:cNvPicPr>
      </xdr:nvPicPr>
      <xdr:blipFill rotWithShape="1">
        <a:blip xmlns:r="http://schemas.openxmlformats.org/officeDocument/2006/relationships" r:embed="rId1"/>
        <a:srcRect l="12029" t="12038" r="65913" b="15637"/>
        <a:stretch>
          <a:fillRect/>
        </a:stretch>
      </xdr:blipFill>
      <xdr:spPr>
        <a:xfrm>
          <a:off x="66674" y="0"/>
          <a:ext cx="7562851" cy="7439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9</xdr:col>
      <xdr:colOff>371475</xdr:colOff>
      <xdr:row>44</xdr:row>
      <xdr:rowOff>76200</xdr:rowOff>
    </xdr:to>
    <xdr:pic>
      <xdr:nvPicPr>
        <xdr:cNvPr id="2" name="Picture 1">
          <a:extLst>
            <a:ext uri="{FF2B5EF4-FFF2-40B4-BE49-F238E27FC236}">
              <a16:creationId xmlns:a16="http://schemas.microsoft.com/office/drawing/2014/main" id="{1D174B30-A527-0311-76A8-DE924F97791B}"/>
            </a:ext>
          </a:extLst>
        </xdr:cNvPr>
        <xdr:cNvPicPr>
          <a:picLocks noChangeAspect="1"/>
        </xdr:cNvPicPr>
      </xdr:nvPicPr>
      <xdr:blipFill rotWithShape="1">
        <a:blip xmlns:r="http://schemas.openxmlformats.org/officeDocument/2006/relationships" r:embed="rId1"/>
        <a:srcRect l="12696" t="8520" r="66523" b="9989"/>
        <a:stretch>
          <a:fillRect/>
        </a:stretch>
      </xdr:blipFill>
      <xdr:spPr>
        <a:xfrm>
          <a:off x="104775" y="76200"/>
          <a:ext cx="7124700" cy="838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11</xdr:col>
      <xdr:colOff>295275</xdr:colOff>
      <xdr:row>41</xdr:row>
      <xdr:rowOff>38100</xdr:rowOff>
    </xdr:to>
    <xdr:pic>
      <xdr:nvPicPr>
        <xdr:cNvPr id="2" name="Picture 1">
          <a:extLst>
            <a:ext uri="{FF2B5EF4-FFF2-40B4-BE49-F238E27FC236}">
              <a16:creationId xmlns:a16="http://schemas.microsoft.com/office/drawing/2014/main" id="{D4B589D3-D3B6-E400-F5C0-2F7E1C81CD62}"/>
            </a:ext>
          </a:extLst>
        </xdr:cNvPr>
        <xdr:cNvPicPr>
          <a:picLocks noChangeAspect="1"/>
        </xdr:cNvPicPr>
      </xdr:nvPicPr>
      <xdr:blipFill rotWithShape="1">
        <a:blip xmlns:r="http://schemas.openxmlformats.org/officeDocument/2006/relationships" r:embed="rId1"/>
        <a:srcRect l="59924" t="10557" r="14962" b="14156"/>
        <a:stretch>
          <a:fillRect/>
        </a:stretch>
      </xdr:blipFill>
      <xdr:spPr>
        <a:xfrm>
          <a:off x="66675" y="104775"/>
          <a:ext cx="8610600" cy="7743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9</xdr:col>
      <xdr:colOff>476250</xdr:colOff>
      <xdr:row>44</xdr:row>
      <xdr:rowOff>85726</xdr:rowOff>
    </xdr:to>
    <xdr:pic>
      <xdr:nvPicPr>
        <xdr:cNvPr id="2" name="Picture 1">
          <a:extLst>
            <a:ext uri="{FF2B5EF4-FFF2-40B4-BE49-F238E27FC236}">
              <a16:creationId xmlns:a16="http://schemas.microsoft.com/office/drawing/2014/main" id="{40FCDDF1-5092-5061-C192-2ED6CFC2E983}"/>
            </a:ext>
          </a:extLst>
        </xdr:cNvPr>
        <xdr:cNvPicPr>
          <a:picLocks noChangeAspect="1"/>
        </xdr:cNvPicPr>
      </xdr:nvPicPr>
      <xdr:blipFill rotWithShape="1">
        <a:blip xmlns:r="http://schemas.openxmlformats.org/officeDocument/2006/relationships" r:embed="rId1"/>
        <a:srcRect l="12113" t="8426" r="66746" b="9803"/>
        <a:stretch>
          <a:fillRect/>
        </a:stretch>
      </xdr:blipFill>
      <xdr:spPr>
        <a:xfrm>
          <a:off x="85725" y="57150"/>
          <a:ext cx="7248525" cy="84105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180975</xdr:colOff>
      <xdr:row>17</xdr:row>
      <xdr:rowOff>182276</xdr:rowOff>
    </xdr:from>
    <xdr:to>
      <xdr:col>7</xdr:col>
      <xdr:colOff>47625</xdr:colOff>
      <xdr:row>32</xdr:row>
      <xdr:rowOff>9049</xdr:rowOff>
    </xdr:to>
    <xdr:pic>
      <xdr:nvPicPr>
        <xdr:cNvPr id="2" name="Picture 1">
          <a:extLst>
            <a:ext uri="{FF2B5EF4-FFF2-40B4-BE49-F238E27FC236}">
              <a16:creationId xmlns:a16="http://schemas.microsoft.com/office/drawing/2014/main" id="{44CACD65-06AB-4CFD-9210-63299CCFE245}"/>
            </a:ext>
          </a:extLst>
        </xdr:cNvPr>
        <xdr:cNvPicPr>
          <a:picLocks noChangeAspect="1"/>
        </xdr:cNvPicPr>
      </xdr:nvPicPr>
      <xdr:blipFill>
        <a:blip xmlns:r="http://schemas.openxmlformats.org/officeDocument/2006/relationships" r:embed="rId1"/>
        <a:stretch>
          <a:fillRect/>
        </a:stretch>
      </xdr:blipFill>
      <xdr:spPr>
        <a:xfrm>
          <a:off x="180975" y="3249326"/>
          <a:ext cx="4657725" cy="2827148"/>
        </a:xfrm>
        <a:prstGeom prst="rect">
          <a:avLst/>
        </a:prstGeom>
      </xdr:spPr>
    </xdr:pic>
    <xdr:clientData/>
  </xdr:twoCellAnchor>
  <xdr:twoCellAnchor editAs="oneCell">
    <xdr:from>
      <xdr:col>7</xdr:col>
      <xdr:colOff>66675</xdr:colOff>
      <xdr:row>19</xdr:row>
      <xdr:rowOff>180975</xdr:rowOff>
    </xdr:from>
    <xdr:to>
      <xdr:col>13</xdr:col>
      <xdr:colOff>596228</xdr:colOff>
      <xdr:row>31</xdr:row>
      <xdr:rowOff>161925</xdr:rowOff>
    </xdr:to>
    <xdr:pic>
      <xdr:nvPicPr>
        <xdr:cNvPr id="3" name="Picture 2">
          <a:extLst>
            <a:ext uri="{FF2B5EF4-FFF2-40B4-BE49-F238E27FC236}">
              <a16:creationId xmlns:a16="http://schemas.microsoft.com/office/drawing/2014/main" id="{F59DB730-C753-4E55-AEBD-5225D913AE4E}"/>
            </a:ext>
          </a:extLst>
        </xdr:cNvPr>
        <xdr:cNvPicPr>
          <a:picLocks noChangeAspect="1"/>
        </xdr:cNvPicPr>
      </xdr:nvPicPr>
      <xdr:blipFill>
        <a:blip xmlns:r="http://schemas.openxmlformats.org/officeDocument/2006/relationships" r:embed="rId2"/>
        <a:stretch>
          <a:fillRect/>
        </a:stretch>
      </xdr:blipFill>
      <xdr:spPr>
        <a:xfrm>
          <a:off x="4857750" y="3648075"/>
          <a:ext cx="5101553" cy="2381250"/>
        </a:xfrm>
        <a:prstGeom prst="rect">
          <a:avLst/>
        </a:prstGeom>
      </xdr:spPr>
    </xdr:pic>
    <xdr:clientData/>
  </xdr:twoCellAnchor>
  <xdr:twoCellAnchor editAs="oneCell">
    <xdr:from>
      <xdr:col>0</xdr:col>
      <xdr:colOff>123826</xdr:colOff>
      <xdr:row>45</xdr:row>
      <xdr:rowOff>35479</xdr:rowOff>
    </xdr:from>
    <xdr:to>
      <xdr:col>6</xdr:col>
      <xdr:colOff>628651</xdr:colOff>
      <xdr:row>56</xdr:row>
      <xdr:rowOff>9246</xdr:rowOff>
    </xdr:to>
    <xdr:pic>
      <xdr:nvPicPr>
        <xdr:cNvPr id="4" name="Picture 3">
          <a:extLst>
            <a:ext uri="{FF2B5EF4-FFF2-40B4-BE49-F238E27FC236}">
              <a16:creationId xmlns:a16="http://schemas.microsoft.com/office/drawing/2014/main" id="{24F5274A-0F1D-44EA-817D-67C3677B4C90}"/>
            </a:ext>
          </a:extLst>
        </xdr:cNvPr>
        <xdr:cNvPicPr>
          <a:picLocks noChangeAspect="1"/>
        </xdr:cNvPicPr>
      </xdr:nvPicPr>
      <xdr:blipFill>
        <a:blip xmlns:r="http://schemas.openxmlformats.org/officeDocument/2006/relationships" r:embed="rId3"/>
        <a:stretch>
          <a:fillRect/>
        </a:stretch>
      </xdr:blipFill>
      <xdr:spPr>
        <a:xfrm>
          <a:off x="123826" y="8703229"/>
          <a:ext cx="4533900" cy="2174042"/>
        </a:xfrm>
        <a:prstGeom prst="rect">
          <a:avLst/>
        </a:prstGeom>
      </xdr:spPr>
    </xdr:pic>
    <xdr:clientData/>
  </xdr:twoCellAnchor>
  <xdr:twoCellAnchor editAs="oneCell">
    <xdr:from>
      <xdr:col>7</xdr:col>
      <xdr:colOff>47626</xdr:colOff>
      <xdr:row>44</xdr:row>
      <xdr:rowOff>92161</xdr:rowOff>
    </xdr:from>
    <xdr:to>
      <xdr:col>13</xdr:col>
      <xdr:colOff>485776</xdr:colOff>
      <xdr:row>55</xdr:row>
      <xdr:rowOff>85725</xdr:rowOff>
    </xdr:to>
    <xdr:pic>
      <xdr:nvPicPr>
        <xdr:cNvPr id="5" name="Picture 4">
          <a:extLst>
            <a:ext uri="{FF2B5EF4-FFF2-40B4-BE49-F238E27FC236}">
              <a16:creationId xmlns:a16="http://schemas.microsoft.com/office/drawing/2014/main" id="{A3BD98F1-20F9-4F78-A0C0-CD661B75299B}"/>
            </a:ext>
          </a:extLst>
        </xdr:cNvPr>
        <xdr:cNvPicPr>
          <a:picLocks noChangeAspect="1"/>
        </xdr:cNvPicPr>
      </xdr:nvPicPr>
      <xdr:blipFill>
        <a:blip xmlns:r="http://schemas.openxmlformats.org/officeDocument/2006/relationships" r:embed="rId4"/>
        <a:stretch>
          <a:fillRect/>
        </a:stretch>
      </xdr:blipFill>
      <xdr:spPr>
        <a:xfrm>
          <a:off x="4838701" y="8559886"/>
          <a:ext cx="5010150" cy="2193839"/>
        </a:xfrm>
        <a:prstGeom prst="rect">
          <a:avLst/>
        </a:prstGeom>
      </xdr:spPr>
    </xdr:pic>
    <xdr:clientData/>
  </xdr:twoCellAnchor>
  <xdr:twoCellAnchor editAs="oneCell">
    <xdr:from>
      <xdr:col>1</xdr:col>
      <xdr:colOff>9524</xdr:colOff>
      <xdr:row>84</xdr:row>
      <xdr:rowOff>65082</xdr:rowOff>
    </xdr:from>
    <xdr:to>
      <xdr:col>8</xdr:col>
      <xdr:colOff>666749</xdr:colOff>
      <xdr:row>108</xdr:row>
      <xdr:rowOff>104257</xdr:rowOff>
    </xdr:to>
    <xdr:pic>
      <xdr:nvPicPr>
        <xdr:cNvPr id="6" name="Picture 5">
          <a:extLst>
            <a:ext uri="{FF2B5EF4-FFF2-40B4-BE49-F238E27FC236}">
              <a16:creationId xmlns:a16="http://schemas.microsoft.com/office/drawing/2014/main" id="{FBAE0404-8FF0-48D9-BD41-191943AB2A1E}"/>
            </a:ext>
          </a:extLst>
        </xdr:cNvPr>
        <xdr:cNvPicPr>
          <a:picLocks noChangeAspect="1"/>
        </xdr:cNvPicPr>
      </xdr:nvPicPr>
      <xdr:blipFill>
        <a:blip xmlns:r="http://schemas.openxmlformats.org/officeDocument/2006/relationships" r:embed="rId5"/>
        <a:stretch>
          <a:fillRect/>
        </a:stretch>
      </xdr:blipFill>
      <xdr:spPr>
        <a:xfrm>
          <a:off x="304799" y="16295682"/>
          <a:ext cx="5915025" cy="4611175"/>
        </a:xfrm>
        <a:prstGeom prst="rect">
          <a:avLst/>
        </a:prstGeom>
      </xdr:spPr>
    </xdr:pic>
    <xdr:clientData/>
  </xdr:twoCellAnchor>
  <xdr:twoCellAnchor editAs="oneCell">
    <xdr:from>
      <xdr:col>1</xdr:col>
      <xdr:colOff>9525</xdr:colOff>
      <xdr:row>62</xdr:row>
      <xdr:rowOff>170419</xdr:rowOff>
    </xdr:from>
    <xdr:to>
      <xdr:col>8</xdr:col>
      <xdr:colOff>676275</xdr:colOff>
      <xdr:row>84</xdr:row>
      <xdr:rowOff>104305</xdr:rowOff>
    </xdr:to>
    <xdr:pic>
      <xdr:nvPicPr>
        <xdr:cNvPr id="7" name="Picture 6">
          <a:extLst>
            <a:ext uri="{FF2B5EF4-FFF2-40B4-BE49-F238E27FC236}">
              <a16:creationId xmlns:a16="http://schemas.microsoft.com/office/drawing/2014/main" id="{A6439035-2401-42CF-9AF9-FFB1DD6DFE70}"/>
            </a:ext>
          </a:extLst>
        </xdr:cNvPr>
        <xdr:cNvPicPr>
          <a:picLocks noChangeAspect="1"/>
        </xdr:cNvPicPr>
      </xdr:nvPicPr>
      <xdr:blipFill>
        <a:blip xmlns:r="http://schemas.openxmlformats.org/officeDocument/2006/relationships" r:embed="rId6"/>
        <a:stretch>
          <a:fillRect/>
        </a:stretch>
      </xdr:blipFill>
      <xdr:spPr>
        <a:xfrm>
          <a:off x="304800" y="12152869"/>
          <a:ext cx="5924550" cy="4182036"/>
        </a:xfrm>
        <a:prstGeom prst="rect">
          <a:avLst/>
        </a:prstGeom>
      </xdr:spPr>
    </xdr:pic>
    <xdr:clientData/>
  </xdr:twoCellAnchor>
  <xdr:twoCellAnchor editAs="oneCell">
    <xdr:from>
      <xdr:col>1</xdr:col>
      <xdr:colOff>0</xdr:colOff>
      <xdr:row>108</xdr:row>
      <xdr:rowOff>104155</xdr:rowOff>
    </xdr:from>
    <xdr:to>
      <xdr:col>8</xdr:col>
      <xdr:colOff>666750</xdr:colOff>
      <xdr:row>140</xdr:row>
      <xdr:rowOff>123137</xdr:rowOff>
    </xdr:to>
    <xdr:pic>
      <xdr:nvPicPr>
        <xdr:cNvPr id="8" name="Picture 7">
          <a:extLst>
            <a:ext uri="{FF2B5EF4-FFF2-40B4-BE49-F238E27FC236}">
              <a16:creationId xmlns:a16="http://schemas.microsoft.com/office/drawing/2014/main" id="{906CF325-2A6E-4814-973E-DCD8D6C66B3A}"/>
            </a:ext>
          </a:extLst>
        </xdr:cNvPr>
        <xdr:cNvPicPr>
          <a:picLocks noChangeAspect="1"/>
        </xdr:cNvPicPr>
      </xdr:nvPicPr>
      <xdr:blipFill>
        <a:blip xmlns:r="http://schemas.openxmlformats.org/officeDocument/2006/relationships" r:embed="rId7"/>
        <a:stretch>
          <a:fillRect/>
        </a:stretch>
      </xdr:blipFill>
      <xdr:spPr>
        <a:xfrm>
          <a:off x="295275" y="20906755"/>
          <a:ext cx="5924550" cy="6114982"/>
        </a:xfrm>
        <a:prstGeom prst="rect">
          <a:avLst/>
        </a:prstGeom>
      </xdr:spPr>
    </xdr:pic>
    <xdr:clientData/>
  </xdr:twoCellAnchor>
  <xdr:twoCellAnchor editAs="oneCell">
    <xdr:from>
      <xdr:col>0</xdr:col>
      <xdr:colOff>285749</xdr:colOff>
      <xdr:row>140</xdr:row>
      <xdr:rowOff>92320</xdr:rowOff>
    </xdr:from>
    <xdr:to>
      <xdr:col>8</xdr:col>
      <xdr:colOff>647699</xdr:colOff>
      <xdr:row>181</xdr:row>
      <xdr:rowOff>189608</xdr:rowOff>
    </xdr:to>
    <xdr:pic>
      <xdr:nvPicPr>
        <xdr:cNvPr id="9" name="Picture 8">
          <a:extLst>
            <a:ext uri="{FF2B5EF4-FFF2-40B4-BE49-F238E27FC236}">
              <a16:creationId xmlns:a16="http://schemas.microsoft.com/office/drawing/2014/main" id="{74979439-3530-49C8-BC11-B0766792C07A}"/>
            </a:ext>
          </a:extLst>
        </xdr:cNvPr>
        <xdr:cNvPicPr>
          <a:picLocks noChangeAspect="1"/>
        </xdr:cNvPicPr>
      </xdr:nvPicPr>
      <xdr:blipFill>
        <a:blip xmlns:r="http://schemas.openxmlformats.org/officeDocument/2006/relationships" r:embed="rId8"/>
        <a:stretch>
          <a:fillRect/>
        </a:stretch>
      </xdr:blipFill>
      <xdr:spPr>
        <a:xfrm>
          <a:off x="285749" y="26990920"/>
          <a:ext cx="5915025" cy="7907788"/>
        </a:xfrm>
        <a:prstGeom prst="rect">
          <a:avLst/>
        </a:prstGeom>
      </xdr:spPr>
    </xdr:pic>
    <xdr:clientData/>
  </xdr:twoCellAnchor>
  <xdr:twoCellAnchor editAs="oneCell">
    <xdr:from>
      <xdr:col>1</xdr:col>
      <xdr:colOff>0</xdr:colOff>
      <xdr:row>181</xdr:row>
      <xdr:rowOff>165483</xdr:rowOff>
    </xdr:from>
    <xdr:to>
      <xdr:col>8</xdr:col>
      <xdr:colOff>657225</xdr:colOff>
      <xdr:row>212</xdr:row>
      <xdr:rowOff>37450</xdr:rowOff>
    </xdr:to>
    <xdr:pic>
      <xdr:nvPicPr>
        <xdr:cNvPr id="10" name="Picture 9">
          <a:extLst>
            <a:ext uri="{FF2B5EF4-FFF2-40B4-BE49-F238E27FC236}">
              <a16:creationId xmlns:a16="http://schemas.microsoft.com/office/drawing/2014/main" id="{D64627F7-BCA1-40B3-B527-E7BD9F1859CA}"/>
            </a:ext>
          </a:extLst>
        </xdr:cNvPr>
        <xdr:cNvPicPr>
          <a:picLocks noChangeAspect="1"/>
        </xdr:cNvPicPr>
      </xdr:nvPicPr>
      <xdr:blipFill>
        <a:blip xmlns:r="http://schemas.openxmlformats.org/officeDocument/2006/relationships" r:embed="rId9"/>
        <a:stretch>
          <a:fillRect/>
        </a:stretch>
      </xdr:blipFill>
      <xdr:spPr>
        <a:xfrm>
          <a:off x="295275" y="34874583"/>
          <a:ext cx="5915025" cy="57774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FINANCE%20DIRECTOR\BUDGETS\Budget%202025\BUDGET%202025%20FINAL.xlsx" TargetMode="External"/><Relationship Id="rId1" Type="http://schemas.openxmlformats.org/officeDocument/2006/relationships/externalLinkPath" Target="/FINANCE%20DIRECTOR/BUDGETS/Budget%202025/BUDGET%202025%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inputPrYr"/>
      <sheetName val="inputOth"/>
      <sheetName val="inputHearing"/>
      <sheetName val="CPA Summary"/>
      <sheetName val="Cert"/>
      <sheetName val="Mvalloc"/>
      <sheetName val="Transfers"/>
      <sheetName val="Debt"/>
      <sheetName val="LP Form"/>
      <sheetName val="Library Grant"/>
      <sheetName val="General"/>
      <sheetName val="General Detail"/>
      <sheetName val="DebtSvs-Library"/>
      <sheetName val="Lib Ben-Ec Dev"/>
      <sheetName val="Spec Hwy-Spec Parks"/>
      <sheetName val="911 PSAP"/>
      <sheetName val="WATER"/>
      <sheetName val="Gas"/>
      <sheetName val="NonBudA"/>
      <sheetName val="NonBudB"/>
      <sheetName val="NonBudC"/>
      <sheetName val="NonBudD"/>
      <sheetName val="Combined Rate-Bud Hearing Notic"/>
      <sheetName val="Proof of Publication"/>
      <sheetName val="Certificate"/>
      <sheetName val="Roll Call to Exceed RNR"/>
      <sheetName val="Resolution to Exceed RNR"/>
      <sheetName val="Budget Tools"/>
    </sheetNames>
    <sheetDataSet>
      <sheetData sheetId="0"/>
      <sheetData sheetId="1"/>
      <sheetData sheetId="2"/>
      <sheetData sheetId="3"/>
      <sheetData sheetId="4"/>
      <sheetData sheetId="5"/>
      <sheetData sheetId="6"/>
      <sheetData sheetId="7"/>
      <sheetData sheetId="8"/>
      <sheetData sheetId="9"/>
      <sheetData sheetId="10"/>
      <sheetData sheetId="11">
        <row r="11">
          <cell r="E11">
            <v>128538</v>
          </cell>
        </row>
        <row r="12">
          <cell r="E12">
            <v>2140</v>
          </cell>
        </row>
        <row r="13">
          <cell r="E13">
            <v>821</v>
          </cell>
        </row>
        <row r="14">
          <cell r="E14">
            <v>8849</v>
          </cell>
        </row>
        <row r="15">
          <cell r="E15">
            <v>136</v>
          </cell>
        </row>
        <row r="16">
          <cell r="E16">
            <v>0</v>
          </cell>
        </row>
        <row r="17">
          <cell r="E17">
            <v>19195</v>
          </cell>
        </row>
        <row r="18">
          <cell r="E18">
            <v>100</v>
          </cell>
        </row>
        <row r="19">
          <cell r="E19">
            <v>860</v>
          </cell>
        </row>
        <row r="20">
          <cell r="E20">
            <v>0</v>
          </cell>
        </row>
        <row r="21">
          <cell r="E21">
            <v>1300000</v>
          </cell>
        </row>
        <row r="22">
          <cell r="E22">
            <v>600000</v>
          </cell>
        </row>
        <row r="23">
          <cell r="E23">
            <v>280000</v>
          </cell>
        </row>
        <row r="24">
          <cell r="E24">
            <v>610000</v>
          </cell>
        </row>
        <row r="25">
          <cell r="E25">
            <v>73600</v>
          </cell>
        </row>
        <row r="26">
          <cell r="E26">
            <v>0</v>
          </cell>
        </row>
        <row r="27">
          <cell r="E27">
            <v>0</v>
          </cell>
        </row>
        <row r="28">
          <cell r="E28">
            <v>0</v>
          </cell>
        </row>
        <row r="30">
          <cell r="E30">
            <v>49775</v>
          </cell>
        </row>
        <row r="31">
          <cell r="E31">
            <v>1350</v>
          </cell>
        </row>
        <row r="32">
          <cell r="E32">
            <v>6000</v>
          </cell>
        </row>
        <row r="33">
          <cell r="E33">
            <v>350000</v>
          </cell>
        </row>
        <row r="34">
          <cell r="E34">
            <v>84214</v>
          </cell>
        </row>
        <row r="35">
          <cell r="E35">
            <v>120000</v>
          </cell>
        </row>
        <row r="36">
          <cell r="E36">
            <v>58000</v>
          </cell>
        </row>
        <row r="37">
          <cell r="E37">
            <v>47200</v>
          </cell>
        </row>
        <row r="38">
          <cell r="E38">
            <v>71600</v>
          </cell>
        </row>
        <row r="39">
          <cell r="E39">
            <v>6600</v>
          </cell>
        </row>
        <row r="40">
          <cell r="E40">
            <v>18900</v>
          </cell>
        </row>
        <row r="41">
          <cell r="E41">
            <v>5500</v>
          </cell>
        </row>
        <row r="42">
          <cell r="E42">
            <v>18200</v>
          </cell>
        </row>
        <row r="43">
          <cell r="E43">
            <v>5000</v>
          </cell>
        </row>
        <row r="45">
          <cell r="E45">
            <v>30000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lice.Smith@ks.gov" TargetMode="Externa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7.bin"/><Relationship Id="rId1" Type="http://schemas.openxmlformats.org/officeDocument/2006/relationships/hyperlink" Target="https://pooledmoneyinvestmentboard.com/"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sheetPr>
  <dimension ref="B1:B109"/>
  <sheetViews>
    <sheetView topLeftCell="A13" zoomScale="80" workbookViewId="0">
      <selection activeCell="E21" sqref="E21"/>
    </sheetView>
  </sheetViews>
  <sheetFormatPr defaultColWidth="8.88671875" defaultRowHeight="15.75" x14ac:dyDescent="0.2"/>
  <cols>
    <col min="1" max="1" width="1.21875" style="30" customWidth="1"/>
    <col min="2" max="2" width="84.6640625" style="31" customWidth="1"/>
    <col min="3" max="16384" width="8.88671875" style="30"/>
  </cols>
  <sheetData>
    <row r="1" spans="2:2" ht="39" customHeight="1" x14ac:dyDescent="0.2">
      <c r="B1" s="503" t="s">
        <v>0</v>
      </c>
    </row>
    <row r="2" spans="2:2" ht="12.95" customHeight="1" x14ac:dyDescent="0.2"/>
    <row r="3" spans="2:2" ht="34.5" customHeight="1" x14ac:dyDescent="0.2">
      <c r="B3" s="31" t="s">
        <v>1</v>
      </c>
    </row>
    <row r="4" spans="2:2" ht="12.95" customHeight="1" x14ac:dyDescent="0.2"/>
    <row r="5" spans="2:2" ht="66" customHeight="1" x14ac:dyDescent="0.2">
      <c r="B5" s="31" t="s">
        <v>2</v>
      </c>
    </row>
    <row r="6" spans="2:2" ht="14.45" customHeight="1" x14ac:dyDescent="0.2"/>
    <row r="7" spans="2:2" ht="25.5" customHeight="1" x14ac:dyDescent="0.2">
      <c r="B7" s="504" t="s">
        <v>3</v>
      </c>
    </row>
    <row r="8" spans="2:2" ht="12.95" customHeight="1" x14ac:dyDescent="0.2"/>
    <row r="9" spans="2:2" ht="90" customHeight="1" x14ac:dyDescent="0.2">
      <c r="B9" s="31" t="s">
        <v>741</v>
      </c>
    </row>
    <row r="10" spans="2:2" ht="12.95" customHeight="1" x14ac:dyDescent="0.2"/>
    <row r="11" spans="2:2" ht="31.5" x14ac:dyDescent="0.2">
      <c r="B11" s="31" t="s">
        <v>4</v>
      </c>
    </row>
    <row r="12" spans="2:2" ht="15" customHeight="1" x14ac:dyDescent="0.2"/>
    <row r="13" spans="2:2" ht="25.5" customHeight="1" x14ac:dyDescent="0.2">
      <c r="B13" s="504" t="s">
        <v>5</v>
      </c>
    </row>
    <row r="14" spans="2:2" ht="12.95" customHeight="1" x14ac:dyDescent="0.2"/>
    <row r="15" spans="2:2" ht="39.75" customHeight="1" x14ac:dyDescent="0.2">
      <c r="B15" s="31" t="s">
        <v>6</v>
      </c>
    </row>
    <row r="16" spans="2:2" ht="12.95" customHeight="1" x14ac:dyDescent="0.2"/>
    <row r="17" spans="2:2" x14ac:dyDescent="0.2">
      <c r="B17" s="505" t="s">
        <v>7</v>
      </c>
    </row>
    <row r="18" spans="2:2" ht="12.95" customHeight="1" x14ac:dyDescent="0.2">
      <c r="B18" s="505"/>
    </row>
    <row r="19" spans="2:2" x14ac:dyDescent="0.2">
      <c r="B19" s="31" t="s">
        <v>8</v>
      </c>
    </row>
    <row r="20" spans="2:2" ht="12.95" customHeight="1" x14ac:dyDescent="0.2"/>
    <row r="21" spans="2:2" ht="85.5" customHeight="1" x14ac:dyDescent="0.2">
      <c r="B21" s="31" t="s">
        <v>9</v>
      </c>
    </row>
    <row r="22" spans="2:2" ht="12.95" customHeight="1" x14ac:dyDescent="0.2">
      <c r="B22" s="506"/>
    </row>
    <row r="23" spans="2:2" ht="15.75" customHeight="1" x14ac:dyDescent="0.2">
      <c r="B23" s="31" t="s">
        <v>10</v>
      </c>
    </row>
    <row r="24" spans="2:2" ht="12.95" customHeight="1" x14ac:dyDescent="0.2">
      <c r="B24" s="506"/>
    </row>
    <row r="25" spans="2:2" ht="15.75" customHeight="1" x14ac:dyDescent="0.2">
      <c r="B25" s="31" t="s">
        <v>11</v>
      </c>
    </row>
    <row r="26" spans="2:2" ht="12.95" customHeight="1" x14ac:dyDescent="0.2"/>
    <row r="27" spans="2:2" ht="49.5" customHeight="1" x14ac:dyDescent="0.2">
      <c r="B27" s="31" t="s">
        <v>12</v>
      </c>
    </row>
    <row r="28" spans="2:2" ht="12.95" customHeight="1" x14ac:dyDescent="0.2"/>
    <row r="29" spans="2:2" ht="25.5" customHeight="1" x14ac:dyDescent="0.2">
      <c r="B29" s="504" t="s">
        <v>13</v>
      </c>
    </row>
    <row r="30" spans="2:2" ht="12.95" customHeight="1" x14ac:dyDescent="0.2">
      <c r="B30" s="507"/>
    </row>
    <row r="31" spans="2:2" ht="50.25" customHeight="1" x14ac:dyDescent="0.2">
      <c r="B31" s="31" t="s">
        <v>14</v>
      </c>
    </row>
    <row r="32" spans="2:2" ht="12.95" customHeight="1" x14ac:dyDescent="0.2"/>
    <row r="33" spans="2:2" ht="49.5" customHeight="1" x14ac:dyDescent="0.2">
      <c r="B33" s="222" t="s">
        <v>15</v>
      </c>
    </row>
    <row r="34" spans="2:2" ht="39.75" customHeight="1" x14ac:dyDescent="0.2">
      <c r="B34" s="508" t="s">
        <v>16</v>
      </c>
    </row>
    <row r="35" spans="2:2" ht="60.75" customHeight="1" x14ac:dyDescent="0.2">
      <c r="B35" s="508" t="s">
        <v>17</v>
      </c>
    </row>
    <row r="36" spans="2:2" ht="61.5" customHeight="1" x14ac:dyDescent="0.2">
      <c r="B36" s="508" t="s">
        <v>18</v>
      </c>
    </row>
    <row r="37" spans="2:2" ht="41.25" customHeight="1" x14ac:dyDescent="0.2">
      <c r="B37" s="508" t="s">
        <v>19</v>
      </c>
    </row>
    <row r="38" spans="2:2" ht="12.95" customHeight="1" x14ac:dyDescent="0.2"/>
    <row r="39" spans="2:2" ht="52.5" customHeight="1" x14ac:dyDescent="0.2">
      <c r="B39" s="222" t="s">
        <v>20</v>
      </c>
    </row>
    <row r="40" spans="2:2" ht="27.75" customHeight="1" x14ac:dyDescent="0.2">
      <c r="B40" s="508" t="s">
        <v>21</v>
      </c>
    </row>
    <row r="41" spans="2:2" ht="57" customHeight="1" x14ac:dyDescent="0.2">
      <c r="B41" s="508" t="s">
        <v>22</v>
      </c>
    </row>
    <row r="42" spans="2:2" ht="105" customHeight="1" x14ac:dyDescent="0.2">
      <c r="B42" s="508" t="s">
        <v>23</v>
      </c>
    </row>
    <row r="43" spans="2:2" s="31" customFormat="1" ht="12.95" customHeight="1" x14ac:dyDescent="0.2"/>
    <row r="44" spans="2:2" ht="47.25" x14ac:dyDescent="0.2">
      <c r="B44" s="222" t="s">
        <v>24</v>
      </c>
    </row>
    <row r="45" spans="2:2" ht="66.75" customHeight="1" x14ac:dyDescent="0.2">
      <c r="B45" s="222" t="s">
        <v>25</v>
      </c>
    </row>
    <row r="46" spans="2:2" ht="72.75" customHeight="1" x14ac:dyDescent="0.2">
      <c r="B46" s="508" t="s">
        <v>26</v>
      </c>
    </row>
    <row r="47" spans="2:2" ht="108" customHeight="1" x14ac:dyDescent="0.2">
      <c r="B47" s="508" t="s">
        <v>27</v>
      </c>
    </row>
    <row r="48" spans="2:2" ht="95.25" customHeight="1" x14ac:dyDescent="0.2">
      <c r="B48" s="508" t="s">
        <v>28</v>
      </c>
    </row>
    <row r="49" spans="2:2" ht="12.95" customHeight="1" x14ac:dyDescent="0.2"/>
    <row r="50" spans="2:2" ht="47.25" x14ac:dyDescent="0.2">
      <c r="B50" s="222" t="s">
        <v>29</v>
      </c>
    </row>
    <row r="51" spans="2:2" ht="38.25" customHeight="1" x14ac:dyDescent="0.2">
      <c r="B51" s="508" t="s">
        <v>30</v>
      </c>
    </row>
    <row r="52" spans="2:2" ht="34.5" customHeight="1" x14ac:dyDescent="0.2">
      <c r="B52" s="508" t="s">
        <v>31</v>
      </c>
    </row>
    <row r="53" spans="2:2" ht="12.95" customHeight="1" x14ac:dyDescent="0.2"/>
    <row r="54" spans="2:2" ht="71.25" customHeight="1" x14ac:dyDescent="0.2">
      <c r="B54" s="222" t="s">
        <v>32</v>
      </c>
    </row>
    <row r="55" spans="2:2" ht="21.75" customHeight="1" x14ac:dyDescent="0.2">
      <c r="B55" s="508" t="s">
        <v>33</v>
      </c>
    </row>
    <row r="56" spans="2:2" ht="12.95" customHeight="1" x14ac:dyDescent="0.2">
      <c r="B56" s="502"/>
    </row>
    <row r="57" spans="2:2" ht="57.75" customHeight="1" x14ac:dyDescent="0.2">
      <c r="B57" s="222" t="s">
        <v>34</v>
      </c>
    </row>
    <row r="58" spans="2:2" ht="41.25" customHeight="1" x14ac:dyDescent="0.2">
      <c r="B58" s="508" t="s">
        <v>35</v>
      </c>
    </row>
    <row r="59" spans="2:2" ht="72" customHeight="1" x14ac:dyDescent="0.2">
      <c r="B59" s="508" t="s">
        <v>36</v>
      </c>
    </row>
    <row r="60" spans="2:2" ht="27" customHeight="1" x14ac:dyDescent="0.2">
      <c r="B60" s="508" t="s">
        <v>37</v>
      </c>
    </row>
    <row r="61" spans="2:2" ht="44.25" customHeight="1" x14ac:dyDescent="0.2">
      <c r="B61" s="508" t="s">
        <v>38</v>
      </c>
    </row>
    <row r="62" spans="2:2" ht="12.95" customHeight="1" x14ac:dyDescent="0.2"/>
    <row r="63" spans="2:2" ht="38.25" customHeight="1" x14ac:dyDescent="0.2">
      <c r="B63" s="222" t="s">
        <v>39</v>
      </c>
    </row>
    <row r="64" spans="2:2" s="509" customFormat="1" ht="30.75" customHeight="1" x14ac:dyDescent="0.2">
      <c r="B64" s="508" t="s">
        <v>40</v>
      </c>
    </row>
    <row r="65" spans="2:2" ht="12.95" customHeight="1" x14ac:dyDescent="0.2"/>
    <row r="66" spans="2:2" ht="52.5" customHeight="1" x14ac:dyDescent="0.2">
      <c r="B66" s="222" t="s">
        <v>41</v>
      </c>
    </row>
    <row r="67" spans="2:2" s="509" customFormat="1" ht="39.75" customHeight="1" x14ac:dyDescent="0.2">
      <c r="B67" s="508" t="s">
        <v>42</v>
      </c>
    </row>
    <row r="68" spans="2:2" ht="12.95" customHeight="1" x14ac:dyDescent="0.2"/>
    <row r="69" spans="2:2" ht="68.25" customHeight="1" x14ac:dyDescent="0.2">
      <c r="B69" s="222" t="s">
        <v>43</v>
      </c>
    </row>
    <row r="70" spans="2:2" ht="57" customHeight="1" x14ac:dyDescent="0.2">
      <c r="B70" s="508" t="s">
        <v>44</v>
      </c>
    </row>
    <row r="71" spans="2:2" ht="44.25" customHeight="1" x14ac:dyDescent="0.2">
      <c r="B71" s="508" t="s">
        <v>45</v>
      </c>
    </row>
    <row r="72" spans="2:2" ht="12.95" customHeight="1" x14ac:dyDescent="0.2"/>
    <row r="73" spans="2:2" ht="78.75" x14ac:dyDescent="0.2">
      <c r="B73" s="222" t="s">
        <v>46</v>
      </c>
    </row>
    <row r="74" spans="2:2" ht="72.75" customHeight="1" x14ac:dyDescent="0.2">
      <c r="B74" s="508" t="s">
        <v>47</v>
      </c>
    </row>
    <row r="75" spans="2:2" ht="90" customHeight="1" x14ac:dyDescent="0.2">
      <c r="B75" s="508" t="s">
        <v>48</v>
      </c>
    </row>
    <row r="76" spans="2:2" ht="70.5" customHeight="1" x14ac:dyDescent="0.2">
      <c r="B76" s="508" t="s">
        <v>49</v>
      </c>
    </row>
    <row r="77" spans="2:2" ht="87" customHeight="1" x14ac:dyDescent="0.2">
      <c r="B77" s="508" t="s">
        <v>50</v>
      </c>
    </row>
    <row r="78" spans="2:2" ht="110.25" x14ac:dyDescent="0.2">
      <c r="B78" s="508" t="s">
        <v>51</v>
      </c>
    </row>
    <row r="79" spans="2:2" ht="55.5" customHeight="1" x14ac:dyDescent="0.2">
      <c r="B79" s="508" t="s">
        <v>52</v>
      </c>
    </row>
    <row r="80" spans="2:2" ht="96.75" customHeight="1" x14ac:dyDescent="0.2">
      <c r="B80" s="508" t="s">
        <v>53</v>
      </c>
    </row>
    <row r="81" spans="2:2" ht="111.75" customHeight="1" x14ac:dyDescent="0.2">
      <c r="B81" s="508" t="s">
        <v>54</v>
      </c>
    </row>
    <row r="82" spans="2:2" ht="123.75" customHeight="1" x14ac:dyDescent="0.2">
      <c r="B82" s="508" t="s">
        <v>55</v>
      </c>
    </row>
    <row r="83" spans="2:2" ht="26.25" customHeight="1" x14ac:dyDescent="0.2">
      <c r="B83" s="508" t="s">
        <v>56</v>
      </c>
    </row>
    <row r="84" spans="2:2" ht="57.75" customHeight="1" x14ac:dyDescent="0.2">
      <c r="B84" s="508" t="s">
        <v>57</v>
      </c>
    </row>
    <row r="85" spans="2:2" ht="57.75" customHeight="1" x14ac:dyDescent="0.2">
      <c r="B85" s="508" t="s">
        <v>58</v>
      </c>
    </row>
    <row r="86" spans="2:2" ht="91.5" customHeight="1" x14ac:dyDescent="0.2">
      <c r="B86" s="508" t="s">
        <v>59</v>
      </c>
    </row>
    <row r="87" spans="2:2" ht="75" customHeight="1" x14ac:dyDescent="0.2">
      <c r="B87" s="508" t="s">
        <v>60</v>
      </c>
    </row>
    <row r="88" spans="2:2" ht="69" customHeight="1" x14ac:dyDescent="0.2">
      <c r="B88" s="508" t="s">
        <v>61</v>
      </c>
    </row>
    <row r="89" spans="2:2" ht="39" customHeight="1" x14ac:dyDescent="0.2">
      <c r="B89" s="508" t="s">
        <v>62</v>
      </c>
    </row>
    <row r="90" spans="2:2" ht="12.95" customHeight="1" x14ac:dyDescent="0.2"/>
    <row r="91" spans="2:2" ht="63" x14ac:dyDescent="0.2">
      <c r="B91" s="222" t="s">
        <v>63</v>
      </c>
    </row>
    <row r="92" spans="2:2" ht="75.75" customHeight="1" x14ac:dyDescent="0.2">
      <c r="B92" s="508" t="s">
        <v>64</v>
      </c>
    </row>
    <row r="93" spans="2:2" ht="23.25" customHeight="1" x14ac:dyDescent="0.2">
      <c r="B93" s="508" t="s">
        <v>65</v>
      </c>
    </row>
    <row r="94" spans="2:2" ht="27" customHeight="1" x14ac:dyDescent="0.2">
      <c r="B94" s="508" t="s">
        <v>66</v>
      </c>
    </row>
    <row r="95" spans="2:2" ht="42" customHeight="1" x14ac:dyDescent="0.2">
      <c r="B95" s="510" t="s">
        <v>67</v>
      </c>
    </row>
    <row r="96" spans="2:2" ht="108" customHeight="1" x14ac:dyDescent="0.2">
      <c r="B96" s="510" t="s">
        <v>68</v>
      </c>
    </row>
    <row r="97" spans="2:2" ht="88.5" customHeight="1" x14ac:dyDescent="0.2">
      <c r="B97" s="510" t="s">
        <v>69</v>
      </c>
    </row>
    <row r="98" spans="2:2" ht="98.25" customHeight="1" x14ac:dyDescent="0.2">
      <c r="B98" s="508" t="s">
        <v>70</v>
      </c>
    </row>
    <row r="99" spans="2:2" ht="68.25" customHeight="1" x14ac:dyDescent="0.2">
      <c r="B99" s="508" t="s">
        <v>71</v>
      </c>
    </row>
    <row r="100" spans="2:2" ht="12.95" customHeight="1" x14ac:dyDescent="0.2"/>
    <row r="101" spans="2:2" ht="94.5" x14ac:dyDescent="0.2">
      <c r="B101" s="222" t="s">
        <v>72</v>
      </c>
    </row>
    <row r="102" spans="2:2" ht="78.75" x14ac:dyDescent="0.2">
      <c r="B102" s="511" t="s">
        <v>73</v>
      </c>
    </row>
    <row r="103" spans="2:2" ht="63" x14ac:dyDescent="0.2">
      <c r="B103" s="508" t="s">
        <v>74</v>
      </c>
    </row>
    <row r="104" spans="2:2" ht="39.75" customHeight="1" x14ac:dyDescent="0.2">
      <c r="B104" s="508" t="s">
        <v>75</v>
      </c>
    </row>
    <row r="105" spans="2:2" ht="12.95" customHeight="1" x14ac:dyDescent="0.2">
      <c r="B105" s="30"/>
    </row>
    <row r="106" spans="2:2" ht="47.25" x14ac:dyDescent="0.2">
      <c r="B106" s="222" t="s">
        <v>76</v>
      </c>
    </row>
    <row r="107" spans="2:2" ht="12.95" customHeight="1" x14ac:dyDescent="0.2">
      <c r="B107" s="30"/>
    </row>
    <row r="108" spans="2:2" ht="47.25" x14ac:dyDescent="0.2">
      <c r="B108" s="222" t="s">
        <v>77</v>
      </c>
    </row>
    <row r="109" spans="2:2" x14ac:dyDescent="0.2">
      <c r="B109" s="30"/>
    </row>
  </sheetData>
  <sheetProtection sheet="1"/>
  <phoneticPr fontId="0" type="noConversion"/>
  <pageMargins left="0.5" right="0.5" top="0.5" bottom="0.5" header="0.5" footer="0"/>
  <pageSetup scale="90" fitToHeight="2" orientation="portrait"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F0"/>
    <pageSetUpPr fitToPage="1"/>
  </sheetPr>
  <dimension ref="B1:AC45"/>
  <sheetViews>
    <sheetView view="pageBreakPreview" zoomScale="60" zoomScaleNormal="100" workbookViewId="0">
      <selection activeCell="S16" sqref="S16"/>
    </sheetView>
  </sheetViews>
  <sheetFormatPr defaultColWidth="8.88671875" defaultRowHeight="15.75" x14ac:dyDescent="0.2"/>
  <cols>
    <col min="1" max="1" width="6.5546875" style="64" customWidth="1"/>
    <col min="2" max="2" width="20.77734375" style="64" customWidth="1"/>
    <col min="3" max="3" width="10.44140625" style="64" bestFit="1" customWidth="1"/>
    <col min="4" max="4" width="9.21875" style="64" customWidth="1"/>
    <col min="5" max="5" width="8.77734375" style="64" customWidth="1"/>
    <col min="6" max="6" width="12.77734375" style="64" customWidth="1"/>
    <col min="7" max="7" width="13.77734375" style="64" customWidth="1"/>
    <col min="8" max="13" width="9.77734375" style="64" customWidth="1"/>
    <col min="14" max="14" width="3.5546875" style="64" customWidth="1"/>
    <col min="15" max="16384" width="8.88671875" style="64"/>
  </cols>
  <sheetData>
    <row r="1" spans="2:13" x14ac:dyDescent="0.2">
      <c r="B1" s="51" t="str">
        <f>inputPrYr!$D$3</f>
        <v>City of Concordia</v>
      </c>
      <c r="C1" s="33"/>
      <c r="D1" s="33"/>
      <c r="E1" s="33"/>
      <c r="F1" s="33"/>
      <c r="G1" s="33"/>
      <c r="H1" s="33"/>
      <c r="I1" s="33"/>
      <c r="J1" s="33"/>
      <c r="K1" s="33"/>
      <c r="L1" s="33"/>
      <c r="M1" s="145">
        <f>inputPrYr!$C$6</f>
        <v>2026</v>
      </c>
    </row>
    <row r="2" spans="2:13" x14ac:dyDescent="0.2">
      <c r="B2" s="51"/>
      <c r="C2" s="33"/>
      <c r="D2" s="33"/>
      <c r="E2" s="33"/>
      <c r="F2" s="33"/>
      <c r="G2" s="33"/>
      <c r="H2" s="33"/>
      <c r="I2" s="33"/>
      <c r="J2" s="33"/>
      <c r="K2" s="33"/>
      <c r="L2" s="33"/>
      <c r="M2" s="62"/>
    </row>
    <row r="3" spans="2:13" x14ac:dyDescent="0.2">
      <c r="B3" s="193" t="s">
        <v>228</v>
      </c>
      <c r="C3" s="35"/>
      <c r="D3" s="35"/>
      <c r="E3" s="35"/>
      <c r="F3" s="35"/>
      <c r="G3" s="35"/>
      <c r="H3" s="35"/>
      <c r="I3" s="35"/>
      <c r="J3" s="35"/>
      <c r="K3" s="35"/>
      <c r="L3" s="35"/>
      <c r="M3" s="35"/>
    </row>
    <row r="4" spans="2:13" x14ac:dyDescent="0.2">
      <c r="B4" s="33"/>
      <c r="C4" s="190"/>
      <c r="D4" s="190"/>
      <c r="E4" s="190"/>
      <c r="F4" s="190"/>
      <c r="G4" s="190"/>
      <c r="H4" s="190"/>
      <c r="I4" s="190"/>
      <c r="J4" s="190"/>
      <c r="K4" s="190"/>
      <c r="L4" s="190"/>
      <c r="M4" s="190"/>
    </row>
    <row r="5" spans="2:13" x14ac:dyDescent="0.2">
      <c r="B5" s="55"/>
      <c r="C5" s="120" t="s">
        <v>229</v>
      </c>
      <c r="D5" s="194" t="s">
        <v>229</v>
      </c>
      <c r="E5" s="194" t="s">
        <v>230</v>
      </c>
      <c r="F5" s="194"/>
      <c r="G5" s="194" t="s">
        <v>231</v>
      </c>
      <c r="H5" s="33"/>
      <c r="I5" s="33"/>
      <c r="J5" s="202" t="s">
        <v>232</v>
      </c>
      <c r="K5" s="203"/>
      <c r="L5" s="202" t="s">
        <v>232</v>
      </c>
      <c r="M5" s="203"/>
    </row>
    <row r="6" spans="2:13" x14ac:dyDescent="0.2">
      <c r="B6" s="109" t="s">
        <v>233</v>
      </c>
      <c r="C6" s="119" t="s">
        <v>234</v>
      </c>
      <c r="D6" s="109" t="s">
        <v>235</v>
      </c>
      <c r="E6" s="109" t="s">
        <v>123</v>
      </c>
      <c r="F6" s="109" t="s">
        <v>236</v>
      </c>
      <c r="G6" s="109" t="s">
        <v>237</v>
      </c>
      <c r="H6" s="647" t="s">
        <v>238</v>
      </c>
      <c r="I6" s="648"/>
      <c r="J6" s="649">
        <f>M1-1</f>
        <v>2025</v>
      </c>
      <c r="K6" s="650"/>
      <c r="L6" s="649">
        <f>M1</f>
        <v>2026</v>
      </c>
      <c r="M6" s="650"/>
    </row>
    <row r="7" spans="2:13" x14ac:dyDescent="0.2">
      <c r="B7" s="46" t="s">
        <v>239</v>
      </c>
      <c r="C7" s="370" t="s">
        <v>240</v>
      </c>
      <c r="D7" s="46" t="s">
        <v>241</v>
      </c>
      <c r="E7" s="46" t="s">
        <v>88</v>
      </c>
      <c r="F7" s="46" t="s">
        <v>242</v>
      </c>
      <c r="G7" s="563" t="str">
        <f>CONCATENATE("Jan 1, ",M1-1,"")</f>
        <v>Jan 1, 2025</v>
      </c>
      <c r="H7" s="568" t="s">
        <v>230</v>
      </c>
      <c r="I7" s="568" t="s">
        <v>243</v>
      </c>
      <c r="J7" s="568" t="s">
        <v>230</v>
      </c>
      <c r="K7" s="568" t="s">
        <v>243</v>
      </c>
      <c r="L7" s="568" t="s">
        <v>230</v>
      </c>
      <c r="M7" s="568" t="s">
        <v>243</v>
      </c>
    </row>
    <row r="8" spans="2:13" x14ac:dyDescent="0.2">
      <c r="B8" s="184" t="s">
        <v>244</v>
      </c>
      <c r="C8" s="49"/>
      <c r="D8" s="49"/>
      <c r="E8" s="204"/>
      <c r="F8" s="154"/>
      <c r="G8" s="154"/>
      <c r="H8" s="49"/>
      <c r="I8" s="49"/>
      <c r="J8" s="154"/>
      <c r="K8" s="154"/>
      <c r="L8" s="154"/>
      <c r="M8" s="154"/>
    </row>
    <row r="9" spans="2:13" x14ac:dyDescent="0.2">
      <c r="B9" s="74" t="s">
        <v>784</v>
      </c>
      <c r="C9" s="197">
        <v>41988</v>
      </c>
      <c r="D9" s="197">
        <v>47423</v>
      </c>
      <c r="E9" s="199">
        <v>3.08</v>
      </c>
      <c r="F9" s="200">
        <v>1225000</v>
      </c>
      <c r="G9" s="205">
        <v>725000</v>
      </c>
      <c r="H9" s="206" t="s">
        <v>785</v>
      </c>
      <c r="I9" s="206">
        <v>40483</v>
      </c>
      <c r="J9" s="205">
        <v>24800</v>
      </c>
      <c r="K9" s="205">
        <v>135000</v>
      </c>
      <c r="L9" s="205">
        <v>20750</v>
      </c>
      <c r="M9" s="205">
        <v>140000</v>
      </c>
    </row>
    <row r="10" spans="2:13" x14ac:dyDescent="0.2">
      <c r="B10" s="74" t="s">
        <v>786</v>
      </c>
      <c r="C10" s="197">
        <v>42863</v>
      </c>
      <c r="D10" s="197">
        <v>48519</v>
      </c>
      <c r="E10" s="199">
        <v>3.07</v>
      </c>
      <c r="F10" s="200">
        <v>2275000</v>
      </c>
      <c r="G10" s="205">
        <v>1340000</v>
      </c>
      <c r="H10" s="206" t="s">
        <v>785</v>
      </c>
      <c r="I10" s="206">
        <v>40483</v>
      </c>
      <c r="J10" s="205">
        <v>41113</v>
      </c>
      <c r="K10" s="205">
        <v>150000</v>
      </c>
      <c r="L10" s="205">
        <v>36613</v>
      </c>
      <c r="M10" s="205">
        <v>155000</v>
      </c>
    </row>
    <row r="11" spans="2:13" x14ac:dyDescent="0.2">
      <c r="B11" s="74" t="s">
        <v>787</v>
      </c>
      <c r="C11" s="197">
        <v>44112</v>
      </c>
      <c r="D11" s="197">
        <v>51441</v>
      </c>
      <c r="E11" s="199">
        <v>2.0299999999999998</v>
      </c>
      <c r="F11" s="200">
        <v>4045000</v>
      </c>
      <c r="G11" s="205">
        <v>3650000</v>
      </c>
      <c r="H11" s="206" t="s">
        <v>785</v>
      </c>
      <c r="I11" s="206">
        <v>40483</v>
      </c>
      <c r="J11" s="205">
        <v>74863</v>
      </c>
      <c r="K11" s="205">
        <v>110000</v>
      </c>
      <c r="L11" s="205">
        <v>71563</v>
      </c>
      <c r="M11" s="205">
        <v>110000</v>
      </c>
    </row>
    <row r="12" spans="2:13" x14ac:dyDescent="0.2">
      <c r="B12" s="74"/>
      <c r="C12" s="197"/>
      <c r="D12" s="197"/>
      <c r="E12" s="199"/>
      <c r="F12" s="200"/>
      <c r="G12" s="205"/>
      <c r="H12" s="206"/>
      <c r="I12" s="206"/>
      <c r="J12" s="205"/>
      <c r="K12" s="205"/>
      <c r="L12" s="205"/>
      <c r="M12" s="205"/>
    </row>
    <row r="13" spans="2:13" x14ac:dyDescent="0.2">
      <c r="B13" s="74"/>
      <c r="C13" s="197"/>
      <c r="D13" s="197"/>
      <c r="E13" s="199"/>
      <c r="F13" s="200"/>
      <c r="G13" s="205"/>
      <c r="H13" s="206"/>
      <c r="I13" s="206"/>
      <c r="J13" s="205"/>
      <c r="K13" s="205"/>
      <c r="L13" s="205"/>
      <c r="M13" s="205"/>
    </row>
    <row r="14" spans="2:13" x14ac:dyDescent="0.2">
      <c r="B14" s="74"/>
      <c r="C14" s="197"/>
      <c r="D14" s="197"/>
      <c r="E14" s="199"/>
      <c r="F14" s="200"/>
      <c r="G14" s="205"/>
      <c r="H14" s="206"/>
      <c r="I14" s="206"/>
      <c r="J14" s="205"/>
      <c r="K14" s="205"/>
      <c r="L14" s="205"/>
      <c r="M14" s="205"/>
    </row>
    <row r="15" spans="2:13" x14ac:dyDescent="0.2">
      <c r="B15" s="74"/>
      <c r="C15" s="197"/>
      <c r="D15" s="197"/>
      <c r="E15" s="199"/>
      <c r="F15" s="200"/>
      <c r="G15" s="205"/>
      <c r="H15" s="206"/>
      <c r="I15" s="206"/>
      <c r="J15" s="205"/>
      <c r="K15" s="205"/>
      <c r="L15" s="205"/>
      <c r="M15" s="205"/>
    </row>
    <row r="16" spans="2:13" x14ac:dyDescent="0.2">
      <c r="B16" s="74"/>
      <c r="C16" s="197"/>
      <c r="D16" s="197"/>
      <c r="E16" s="199"/>
      <c r="F16" s="200"/>
      <c r="G16" s="205"/>
      <c r="H16" s="206"/>
      <c r="I16" s="206"/>
      <c r="J16" s="205"/>
      <c r="K16" s="205"/>
      <c r="L16" s="205"/>
      <c r="M16" s="205"/>
    </row>
    <row r="17" spans="2:13" x14ac:dyDescent="0.2">
      <c r="B17" s="74"/>
      <c r="C17" s="197"/>
      <c r="D17" s="197"/>
      <c r="E17" s="199"/>
      <c r="F17" s="200"/>
      <c r="G17" s="205"/>
      <c r="H17" s="206"/>
      <c r="I17" s="206"/>
      <c r="J17" s="205"/>
      <c r="K17" s="205"/>
      <c r="L17" s="205"/>
      <c r="M17" s="205"/>
    </row>
    <row r="18" spans="2:13" x14ac:dyDescent="0.2">
      <c r="B18" s="74"/>
      <c r="C18" s="197"/>
      <c r="D18" s="197"/>
      <c r="E18" s="199"/>
      <c r="F18" s="200"/>
      <c r="G18" s="205"/>
      <c r="H18" s="206"/>
      <c r="I18" s="206"/>
      <c r="J18" s="205"/>
      <c r="K18" s="205"/>
      <c r="L18" s="205"/>
      <c r="M18" s="205"/>
    </row>
    <row r="19" spans="2:13" x14ac:dyDescent="0.2">
      <c r="B19" s="207" t="s">
        <v>245</v>
      </c>
      <c r="C19" s="208"/>
      <c r="D19" s="208"/>
      <c r="E19" s="209"/>
      <c r="F19" s="210"/>
      <c r="G19" s="211">
        <f>SUM(G9:G18)</f>
        <v>5715000</v>
      </c>
      <c r="H19" s="212"/>
      <c r="I19" s="212"/>
      <c r="J19" s="211">
        <f>SUM(J9:J18)</f>
        <v>140776</v>
      </c>
      <c r="K19" s="211">
        <f>SUM(K9:K18)</f>
        <v>395000</v>
      </c>
      <c r="L19" s="211">
        <f>SUM(L9:L18)</f>
        <v>128926</v>
      </c>
      <c r="M19" s="211">
        <f>SUM(M9:M18)</f>
        <v>405000</v>
      </c>
    </row>
    <row r="20" spans="2:13" x14ac:dyDescent="0.2">
      <c r="B20" s="184" t="s">
        <v>246</v>
      </c>
      <c r="C20" s="213"/>
      <c r="D20" s="213"/>
      <c r="E20" s="214"/>
      <c r="F20" s="123"/>
      <c r="G20" s="123"/>
      <c r="H20" s="215"/>
      <c r="I20" s="215"/>
      <c r="J20" s="123"/>
      <c r="K20" s="123"/>
      <c r="L20" s="123"/>
      <c r="M20" s="123"/>
    </row>
    <row r="21" spans="2:13" x14ac:dyDescent="0.2">
      <c r="B21" s="74"/>
      <c r="C21" s="197"/>
      <c r="D21" s="197"/>
      <c r="E21" s="199"/>
      <c r="F21" s="200"/>
      <c r="G21" s="205"/>
      <c r="H21" s="206"/>
      <c r="I21" s="206"/>
      <c r="J21" s="205"/>
      <c r="K21" s="205"/>
      <c r="L21" s="205"/>
      <c r="M21" s="205"/>
    </row>
    <row r="22" spans="2:13" x14ac:dyDescent="0.2">
      <c r="B22" s="74"/>
      <c r="C22" s="197"/>
      <c r="D22" s="197"/>
      <c r="E22" s="199"/>
      <c r="F22" s="200"/>
      <c r="G22" s="205"/>
      <c r="H22" s="206"/>
      <c r="I22" s="206"/>
      <c r="J22" s="205"/>
      <c r="K22" s="205"/>
      <c r="L22" s="205"/>
      <c r="M22" s="205"/>
    </row>
    <row r="23" spans="2:13" x14ac:dyDescent="0.2">
      <c r="B23" s="74"/>
      <c r="C23" s="197"/>
      <c r="D23" s="197"/>
      <c r="E23" s="199"/>
      <c r="F23" s="200"/>
      <c r="G23" s="205"/>
      <c r="H23" s="206"/>
      <c r="I23" s="206"/>
      <c r="J23" s="205"/>
      <c r="K23" s="205"/>
      <c r="L23" s="205"/>
      <c r="M23" s="205"/>
    </row>
    <row r="24" spans="2:13" x14ac:dyDescent="0.2">
      <c r="B24" s="74"/>
      <c r="C24" s="197"/>
      <c r="D24" s="197"/>
      <c r="E24" s="199"/>
      <c r="F24" s="200"/>
      <c r="G24" s="205"/>
      <c r="H24" s="206"/>
      <c r="I24" s="206"/>
      <c r="J24" s="205"/>
      <c r="K24" s="205"/>
      <c r="L24" s="205"/>
      <c r="M24" s="205"/>
    </row>
    <row r="25" spans="2:13" x14ac:dyDescent="0.2">
      <c r="B25" s="74"/>
      <c r="C25" s="197"/>
      <c r="D25" s="197"/>
      <c r="E25" s="199"/>
      <c r="F25" s="200"/>
      <c r="G25" s="205"/>
      <c r="H25" s="206"/>
      <c r="I25" s="206"/>
      <c r="J25" s="205"/>
      <c r="K25" s="205"/>
      <c r="L25" s="205"/>
      <c r="M25" s="205"/>
    </row>
    <row r="26" spans="2:13" x14ac:dyDescent="0.2">
      <c r="B26" s="74"/>
      <c r="C26" s="197"/>
      <c r="D26" s="197"/>
      <c r="E26" s="199"/>
      <c r="F26" s="200"/>
      <c r="G26" s="205"/>
      <c r="H26" s="206"/>
      <c r="I26" s="206"/>
      <c r="J26" s="205"/>
      <c r="K26" s="205"/>
      <c r="L26" s="205"/>
      <c r="M26" s="205"/>
    </row>
    <row r="27" spans="2:13" x14ac:dyDescent="0.2">
      <c r="B27" s="74"/>
      <c r="C27" s="197"/>
      <c r="D27" s="197"/>
      <c r="E27" s="199"/>
      <c r="F27" s="200"/>
      <c r="G27" s="205"/>
      <c r="H27" s="206"/>
      <c r="I27" s="206"/>
      <c r="J27" s="205"/>
      <c r="K27" s="205"/>
      <c r="L27" s="205"/>
      <c r="M27" s="205"/>
    </row>
    <row r="28" spans="2:13" x14ac:dyDescent="0.2">
      <c r="B28" s="74"/>
      <c r="C28" s="197"/>
      <c r="D28" s="197"/>
      <c r="E28" s="199"/>
      <c r="F28" s="200"/>
      <c r="G28" s="205"/>
      <c r="H28" s="206"/>
      <c r="I28" s="206"/>
      <c r="J28" s="205"/>
      <c r="K28" s="205"/>
      <c r="L28" s="205"/>
      <c r="M28" s="205"/>
    </row>
    <row r="29" spans="2:13" x14ac:dyDescent="0.2">
      <c r="B29" s="207" t="s">
        <v>247</v>
      </c>
      <c r="C29" s="208"/>
      <c r="D29" s="208"/>
      <c r="E29" s="216"/>
      <c r="F29" s="210"/>
      <c r="G29" s="217">
        <f>SUM(G21:G28)</f>
        <v>0</v>
      </c>
      <c r="H29" s="212"/>
      <c r="I29" s="212"/>
      <c r="J29" s="217">
        <f>SUM(J21:J28)</f>
        <v>0</v>
      </c>
      <c r="K29" s="217">
        <f>SUM(K21:K28)</f>
        <v>0</v>
      </c>
      <c r="L29" s="211">
        <f>SUM(L21:L28)</f>
        <v>0</v>
      </c>
      <c r="M29" s="217">
        <f>SUM(M21:M28)</f>
        <v>0</v>
      </c>
    </row>
    <row r="30" spans="2:13" x14ac:dyDescent="0.2">
      <c r="B30" s="184" t="s">
        <v>248</v>
      </c>
      <c r="C30" s="213"/>
      <c r="D30" s="213"/>
      <c r="E30" s="214"/>
      <c r="F30" s="123"/>
      <c r="G30" s="218"/>
      <c r="H30" s="215"/>
      <c r="I30" s="215"/>
      <c r="J30" s="123"/>
      <c r="K30" s="123"/>
      <c r="L30" s="123"/>
      <c r="M30" s="123"/>
    </row>
    <row r="31" spans="2:13" x14ac:dyDescent="0.2">
      <c r="B31" s="74" t="s">
        <v>788</v>
      </c>
      <c r="C31" s="197">
        <v>45281</v>
      </c>
      <c r="D31" s="197">
        <v>45962</v>
      </c>
      <c r="E31" s="199">
        <v>4.25</v>
      </c>
      <c r="F31" s="200">
        <v>1340000</v>
      </c>
      <c r="G31" s="205">
        <v>1340000</v>
      </c>
      <c r="H31" s="206" t="s">
        <v>785</v>
      </c>
      <c r="I31" s="206"/>
      <c r="J31" s="205">
        <v>56950</v>
      </c>
      <c r="K31" s="205">
        <v>0</v>
      </c>
      <c r="L31" s="205">
        <v>0</v>
      </c>
      <c r="M31" s="205">
        <v>0</v>
      </c>
    </row>
    <row r="32" spans="2:13" x14ac:dyDescent="0.2">
      <c r="B32" s="74"/>
      <c r="C32" s="197"/>
      <c r="D32" s="197"/>
      <c r="E32" s="199"/>
      <c r="F32" s="200"/>
      <c r="G32" s="205"/>
      <c r="H32" s="206"/>
      <c r="I32" s="206"/>
      <c r="J32" s="205"/>
      <c r="K32" s="205"/>
      <c r="L32" s="205"/>
      <c r="M32" s="205"/>
    </row>
    <row r="33" spans="2:29" x14ac:dyDescent="0.2">
      <c r="B33" s="74"/>
      <c r="C33" s="197"/>
      <c r="D33" s="197"/>
      <c r="E33" s="199"/>
      <c r="F33" s="200"/>
      <c r="G33" s="205"/>
      <c r="H33" s="206"/>
      <c r="I33" s="206"/>
      <c r="J33" s="205"/>
      <c r="K33" s="205"/>
      <c r="L33" s="205"/>
      <c r="M33" s="205"/>
    </row>
    <row r="34" spans="2:29" x14ac:dyDescent="0.2">
      <c r="B34" s="74"/>
      <c r="C34" s="197"/>
      <c r="D34" s="197"/>
      <c r="E34" s="199"/>
      <c r="F34" s="200"/>
      <c r="G34" s="205"/>
      <c r="H34" s="206"/>
      <c r="I34" s="206"/>
      <c r="J34" s="205"/>
      <c r="K34" s="205"/>
      <c r="L34" s="205"/>
      <c r="M34" s="205"/>
    </row>
    <row r="35" spans="2:29" x14ac:dyDescent="0.2">
      <c r="B35" s="74"/>
      <c r="C35" s="197"/>
      <c r="D35" s="197"/>
      <c r="E35" s="199"/>
      <c r="F35" s="200"/>
      <c r="G35" s="205"/>
      <c r="H35" s="206"/>
      <c r="I35" s="206"/>
      <c r="J35" s="205"/>
      <c r="K35" s="205"/>
      <c r="L35" s="205"/>
      <c r="M35" s="205"/>
    </row>
    <row r="36" spans="2:29" x14ac:dyDescent="0.2">
      <c r="B36" s="74"/>
      <c r="C36" s="197"/>
      <c r="D36" s="197"/>
      <c r="E36" s="199"/>
      <c r="F36" s="200"/>
      <c r="G36" s="205"/>
      <c r="H36" s="206"/>
      <c r="I36" s="206"/>
      <c r="J36" s="205"/>
      <c r="K36" s="205"/>
      <c r="L36" s="205"/>
      <c r="M36" s="205"/>
    </row>
    <row r="37" spans="2:29" x14ac:dyDescent="0.2">
      <c r="B37" s="74"/>
      <c r="C37" s="197"/>
      <c r="D37" s="197"/>
      <c r="E37" s="199"/>
      <c r="F37" s="200"/>
      <c r="G37" s="205"/>
      <c r="H37" s="206"/>
      <c r="I37" s="206"/>
      <c r="J37" s="205"/>
      <c r="K37" s="205"/>
      <c r="L37" s="205"/>
      <c r="M37" s="205"/>
    </row>
    <row r="38" spans="2:29" x14ac:dyDescent="0.2">
      <c r="B38" s="74"/>
      <c r="C38" s="197"/>
      <c r="D38" s="197"/>
      <c r="E38" s="199"/>
      <c r="F38" s="200"/>
      <c r="G38" s="205"/>
      <c r="H38" s="206"/>
      <c r="I38" s="206"/>
      <c r="J38" s="205"/>
      <c r="K38" s="205"/>
      <c r="L38" s="205"/>
      <c r="M38" s="205"/>
      <c r="N38" s="30"/>
      <c r="O38" s="30"/>
      <c r="P38" s="30"/>
      <c r="Q38" s="30"/>
      <c r="R38" s="30"/>
      <c r="S38" s="30"/>
      <c r="T38" s="30"/>
      <c r="U38" s="30"/>
      <c r="V38" s="30"/>
      <c r="W38" s="30"/>
      <c r="X38" s="30"/>
      <c r="Y38" s="30"/>
      <c r="Z38" s="30"/>
      <c r="AA38" s="30"/>
      <c r="AB38" s="30"/>
      <c r="AC38" s="30"/>
    </row>
    <row r="39" spans="2:29" x14ac:dyDescent="0.2">
      <c r="B39" s="207" t="s">
        <v>249</v>
      </c>
      <c r="C39" s="219"/>
      <c r="D39" s="219"/>
      <c r="E39" s="216"/>
      <c r="F39" s="210"/>
      <c r="G39" s="217">
        <f>SUM(G31:G38)</f>
        <v>1340000</v>
      </c>
      <c r="H39" s="210"/>
      <c r="I39" s="210"/>
      <c r="J39" s="217">
        <f>SUM(J31:J38)</f>
        <v>56950</v>
      </c>
      <c r="K39" s="217">
        <f>SUM(K31:K38)</f>
        <v>0</v>
      </c>
      <c r="L39" s="217">
        <f>SUM(L31:L38)</f>
        <v>0</v>
      </c>
      <c r="M39" s="217">
        <f>SUM(M31:M38)</f>
        <v>0</v>
      </c>
    </row>
    <row r="40" spans="2:29" x14ac:dyDescent="0.2">
      <c r="B40" s="207" t="s">
        <v>250</v>
      </c>
      <c r="C40" s="219"/>
      <c r="D40" s="219"/>
      <c r="E40" s="219"/>
      <c r="F40" s="210"/>
      <c r="G40" s="217">
        <f>SUM(G19+G29+G39)</f>
        <v>7055000</v>
      </c>
      <c r="H40" s="210"/>
      <c r="I40" s="210"/>
      <c r="J40" s="217">
        <f>SUM(J19+J29+J39)</f>
        <v>197726</v>
      </c>
      <c r="K40" s="217">
        <f>SUM(K19+K29+K39)</f>
        <v>395000</v>
      </c>
      <c r="L40" s="217">
        <f>SUM(L19+L29+L39)</f>
        <v>128926</v>
      </c>
      <c r="M40" s="217">
        <f>SUM(M19+M29+M39)</f>
        <v>405000</v>
      </c>
    </row>
    <row r="41" spans="2:29" x14ac:dyDescent="0.2">
      <c r="B41" s="30"/>
      <c r="C41" s="30"/>
      <c r="D41" s="30"/>
      <c r="E41" s="30"/>
      <c r="F41" s="30"/>
      <c r="G41" s="30"/>
      <c r="H41" s="30"/>
      <c r="I41" s="30"/>
      <c r="J41" s="30"/>
      <c r="K41" s="30"/>
      <c r="L41" s="30"/>
      <c r="M41" s="30"/>
    </row>
    <row r="42" spans="2:29" x14ac:dyDescent="0.2">
      <c r="F42" s="220"/>
      <c r="G42" s="220"/>
      <c r="J42" s="220"/>
      <c r="K42" s="220"/>
      <c r="L42" s="220"/>
      <c r="M42" s="220"/>
    </row>
    <row r="43" spans="2:29" x14ac:dyDescent="0.2">
      <c r="F43" s="30"/>
      <c r="H43" s="221"/>
      <c r="N43" s="30"/>
    </row>
    <row r="44" spans="2:29" x14ac:dyDescent="0.2">
      <c r="B44" s="30"/>
      <c r="C44" s="30"/>
      <c r="D44" s="30"/>
      <c r="E44" s="30"/>
      <c r="F44" s="30"/>
      <c r="G44" s="30"/>
      <c r="H44" s="30"/>
      <c r="I44" s="30"/>
      <c r="J44" s="30"/>
      <c r="K44" s="30"/>
      <c r="L44" s="30"/>
      <c r="M44" s="30"/>
    </row>
    <row r="45" spans="2:29" x14ac:dyDescent="0.2">
      <c r="B45" s="30"/>
      <c r="C45" s="30"/>
      <c r="D45" s="30"/>
      <c r="E45" s="30"/>
      <c r="F45" s="30"/>
      <c r="G45" s="30"/>
      <c r="H45" s="30"/>
      <c r="I45" s="30"/>
      <c r="J45" s="30"/>
      <c r="K45" s="30"/>
      <c r="L45" s="30"/>
      <c r="M45" s="30"/>
    </row>
  </sheetData>
  <mergeCells count="3">
    <mergeCell ref="H6:I6"/>
    <mergeCell ref="J6:K6"/>
    <mergeCell ref="L6:M6"/>
  </mergeCells>
  <phoneticPr fontId="0" type="noConversion"/>
  <pageMargins left="0.25" right="0" top="1" bottom="0.5" header="0.5" footer="0.25"/>
  <pageSetup scale="78" orientation="landscape" blackAndWhite="1" horizontalDpi="120" verticalDpi="144" r:id="rId1"/>
  <headerFooter alignWithMargins="0">
    <oddHeader>&amp;RState of Kansas
City</oddHeader>
    <oddFooter>&amp;CPage No. 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F0"/>
    <pageSetUpPr fitToPage="1"/>
  </sheetPr>
  <dimension ref="B1:I30"/>
  <sheetViews>
    <sheetView zoomScale="75" workbookViewId="0">
      <selection activeCell="H12" sqref="H12"/>
    </sheetView>
  </sheetViews>
  <sheetFormatPr defaultColWidth="8.88671875" defaultRowHeight="15.75" x14ac:dyDescent="0.2"/>
  <cols>
    <col min="1" max="1" width="8.88671875" style="64"/>
    <col min="2" max="2" width="23.5546875" style="64" customWidth="1"/>
    <col min="3" max="5" width="9.77734375" style="64" customWidth="1"/>
    <col min="6" max="6" width="18.33203125" style="64" customWidth="1"/>
    <col min="7" max="9" width="15.77734375" style="64" customWidth="1"/>
    <col min="10" max="16384" width="8.88671875" style="64"/>
  </cols>
  <sheetData>
    <row r="1" spans="2:9" x14ac:dyDescent="0.2">
      <c r="B1" s="51" t="str">
        <f>inputPrYr!$D$3</f>
        <v>City of Concordia</v>
      </c>
      <c r="C1" s="33"/>
      <c r="D1" s="33"/>
      <c r="E1" s="33"/>
      <c r="F1" s="33"/>
      <c r="G1" s="33"/>
      <c r="H1" s="33"/>
      <c r="I1" s="564">
        <f>inputPrYr!C6</f>
        <v>2026</v>
      </c>
    </row>
    <row r="2" spans="2:9" x14ac:dyDescent="0.2">
      <c r="B2" s="51"/>
      <c r="C2" s="33"/>
      <c r="D2" s="33"/>
      <c r="E2" s="33"/>
      <c r="F2" s="33"/>
      <c r="G2" s="33"/>
      <c r="H2" s="33"/>
      <c r="I2" s="62"/>
    </row>
    <row r="3" spans="2:9" x14ac:dyDescent="0.2">
      <c r="B3" s="33"/>
      <c r="C3" s="33"/>
      <c r="D3" s="33"/>
      <c r="E3" s="33"/>
      <c r="F3" s="33"/>
      <c r="G3" s="33"/>
      <c r="H3" s="33"/>
      <c r="I3" s="564"/>
    </row>
    <row r="4" spans="2:9" x14ac:dyDescent="0.2">
      <c r="B4" s="193" t="s">
        <v>251</v>
      </c>
      <c r="C4" s="35"/>
      <c r="D4" s="35"/>
      <c r="E4" s="35"/>
      <c r="F4" s="35"/>
      <c r="G4" s="35"/>
      <c r="H4" s="35"/>
      <c r="I4" s="35"/>
    </row>
    <row r="5" spans="2:9" x14ac:dyDescent="0.2">
      <c r="B5" s="61"/>
      <c r="C5" s="190"/>
      <c r="D5" s="190"/>
      <c r="E5" s="190"/>
      <c r="F5" s="190"/>
      <c r="G5" s="190"/>
      <c r="H5" s="190"/>
      <c r="I5" s="190"/>
    </row>
    <row r="6" spans="2:9" x14ac:dyDescent="0.2">
      <c r="B6" s="55"/>
      <c r="C6" s="55"/>
      <c r="D6" s="55"/>
      <c r="E6" s="55"/>
      <c r="F6" s="194" t="s">
        <v>107</v>
      </c>
      <c r="G6" s="55"/>
      <c r="H6" s="55"/>
      <c r="I6" s="55"/>
    </row>
    <row r="7" spans="2:9" x14ac:dyDescent="0.2">
      <c r="B7" s="112"/>
      <c r="C7" s="109"/>
      <c r="D7" s="109" t="s">
        <v>252</v>
      </c>
      <c r="E7" s="109" t="s">
        <v>230</v>
      </c>
      <c r="F7" s="109" t="s">
        <v>236</v>
      </c>
      <c r="G7" s="109" t="s">
        <v>243</v>
      </c>
      <c r="H7" s="109" t="s">
        <v>253</v>
      </c>
      <c r="I7" s="109" t="s">
        <v>253</v>
      </c>
    </row>
    <row r="8" spans="2:9" x14ac:dyDescent="0.2">
      <c r="B8" s="109" t="s">
        <v>254</v>
      </c>
      <c r="C8" s="109" t="s">
        <v>255</v>
      </c>
      <c r="D8" s="109" t="s">
        <v>256</v>
      </c>
      <c r="E8" s="109" t="s">
        <v>123</v>
      </c>
      <c r="F8" s="109" t="s">
        <v>257</v>
      </c>
      <c r="G8" s="109" t="s">
        <v>258</v>
      </c>
      <c r="H8" s="109" t="s">
        <v>259</v>
      </c>
      <c r="I8" s="109" t="s">
        <v>259</v>
      </c>
    </row>
    <row r="9" spans="2:9" x14ac:dyDescent="0.2">
      <c r="B9" s="46" t="s">
        <v>260</v>
      </c>
      <c r="C9" s="46" t="s">
        <v>229</v>
      </c>
      <c r="D9" s="195" t="s">
        <v>261</v>
      </c>
      <c r="E9" s="46" t="s">
        <v>88</v>
      </c>
      <c r="F9" s="195" t="s">
        <v>262</v>
      </c>
      <c r="G9" s="196" t="str">
        <f>CONCATENATE("Jan 1, ",I1-1,"")</f>
        <v>Jan 1, 2025</v>
      </c>
      <c r="H9" s="46">
        <f>I1-1</f>
        <v>2025</v>
      </c>
      <c r="I9" s="46">
        <f>I1</f>
        <v>2026</v>
      </c>
    </row>
    <row r="10" spans="2:9" x14ac:dyDescent="0.2">
      <c r="B10" s="74" t="s">
        <v>789</v>
      </c>
      <c r="C10" s="197">
        <v>44837</v>
      </c>
      <c r="D10" s="198">
        <v>36</v>
      </c>
      <c r="E10" s="199" t="s">
        <v>790</v>
      </c>
      <c r="F10" s="200">
        <v>9210</v>
      </c>
      <c r="G10" s="200">
        <v>3021</v>
      </c>
      <c r="H10" s="200">
        <v>3021</v>
      </c>
      <c r="I10" s="200">
        <v>0</v>
      </c>
    </row>
    <row r="11" spans="2:9" x14ac:dyDescent="0.2">
      <c r="B11" s="74" t="s">
        <v>906</v>
      </c>
      <c r="C11" s="197">
        <v>45474</v>
      </c>
      <c r="D11" s="198">
        <v>48</v>
      </c>
      <c r="E11" s="199">
        <v>0</v>
      </c>
      <c r="F11" s="200">
        <v>54625</v>
      </c>
      <c r="G11" s="200">
        <v>43700</v>
      </c>
      <c r="H11" s="200">
        <v>10925</v>
      </c>
      <c r="I11" s="200">
        <v>10925</v>
      </c>
    </row>
    <row r="12" spans="2:9" x14ac:dyDescent="0.2">
      <c r="B12" s="74"/>
      <c r="C12" s="197"/>
      <c r="D12" s="198"/>
      <c r="E12" s="199"/>
      <c r="F12" s="200"/>
      <c r="G12" s="200"/>
      <c r="H12" s="200"/>
      <c r="I12" s="200"/>
    </row>
    <row r="13" spans="2:9" x14ac:dyDescent="0.2">
      <c r="B13" s="74"/>
      <c r="C13" s="197"/>
      <c r="D13" s="198"/>
      <c r="E13" s="199"/>
      <c r="F13" s="200"/>
      <c r="G13" s="200"/>
      <c r="H13" s="200"/>
      <c r="I13" s="200"/>
    </row>
    <row r="14" spans="2:9" x14ac:dyDescent="0.2">
      <c r="B14" s="74"/>
      <c r="C14" s="197"/>
      <c r="D14" s="198"/>
      <c r="E14" s="199"/>
      <c r="F14" s="200"/>
      <c r="G14" s="200"/>
      <c r="H14" s="200"/>
      <c r="I14" s="200"/>
    </row>
    <row r="15" spans="2:9" x14ac:dyDescent="0.2">
      <c r="B15" s="74"/>
      <c r="C15" s="197"/>
      <c r="D15" s="198"/>
      <c r="E15" s="199"/>
      <c r="F15" s="200"/>
      <c r="G15" s="200"/>
      <c r="H15" s="200"/>
      <c r="I15" s="200"/>
    </row>
    <row r="16" spans="2:9" x14ac:dyDescent="0.2">
      <c r="B16" s="74"/>
      <c r="C16" s="197"/>
      <c r="D16" s="198"/>
      <c r="E16" s="199"/>
      <c r="F16" s="200"/>
      <c r="G16" s="200"/>
      <c r="H16" s="200"/>
      <c r="I16" s="200"/>
    </row>
    <row r="17" spans="2:9" x14ac:dyDescent="0.2">
      <c r="B17" s="74"/>
      <c r="C17" s="197"/>
      <c r="D17" s="198"/>
      <c r="E17" s="199"/>
      <c r="F17" s="200"/>
      <c r="G17" s="200"/>
      <c r="H17" s="200"/>
      <c r="I17" s="200"/>
    </row>
    <row r="18" spans="2:9" x14ac:dyDescent="0.2">
      <c r="B18" s="74"/>
      <c r="C18" s="197"/>
      <c r="D18" s="198"/>
      <c r="E18" s="199"/>
      <c r="F18" s="200"/>
      <c r="G18" s="200"/>
      <c r="H18" s="200"/>
      <c r="I18" s="200"/>
    </row>
    <row r="19" spans="2:9" x14ac:dyDescent="0.2">
      <c r="B19" s="74"/>
      <c r="C19" s="197"/>
      <c r="D19" s="198"/>
      <c r="E19" s="199"/>
      <c r="F19" s="200"/>
      <c r="G19" s="200"/>
      <c r="H19" s="200"/>
      <c r="I19" s="200"/>
    </row>
    <row r="20" spans="2:9" x14ac:dyDescent="0.2">
      <c r="B20" s="74"/>
      <c r="C20" s="197"/>
      <c r="D20" s="198"/>
      <c r="E20" s="199"/>
      <c r="F20" s="200"/>
      <c r="G20" s="200"/>
      <c r="H20" s="200"/>
      <c r="I20" s="200"/>
    </row>
    <row r="21" spans="2:9" x14ac:dyDescent="0.2">
      <c r="B21" s="74"/>
      <c r="C21" s="197"/>
      <c r="D21" s="198"/>
      <c r="E21" s="199"/>
      <c r="F21" s="200"/>
      <c r="G21" s="200"/>
      <c r="H21" s="200"/>
      <c r="I21" s="200"/>
    </row>
    <row r="22" spans="2:9" x14ac:dyDescent="0.2">
      <c r="B22" s="74"/>
      <c r="C22" s="197"/>
      <c r="D22" s="198"/>
      <c r="E22" s="199"/>
      <c r="F22" s="200"/>
      <c r="G22" s="200"/>
      <c r="H22" s="200"/>
      <c r="I22" s="200"/>
    </row>
    <row r="23" spans="2:9" x14ac:dyDescent="0.2">
      <c r="B23" s="74"/>
      <c r="C23" s="197"/>
      <c r="D23" s="198"/>
      <c r="E23" s="199"/>
      <c r="F23" s="200"/>
      <c r="G23" s="200"/>
      <c r="H23" s="200"/>
      <c r="I23" s="200"/>
    </row>
    <row r="24" spans="2:9" x14ac:dyDescent="0.2">
      <c r="B24" s="74"/>
      <c r="C24" s="197"/>
      <c r="D24" s="198"/>
      <c r="E24" s="199"/>
      <c r="F24" s="200"/>
      <c r="G24" s="200"/>
      <c r="H24" s="200"/>
      <c r="I24" s="200"/>
    </row>
    <row r="25" spans="2:9" x14ac:dyDescent="0.2">
      <c r="B25" s="74"/>
      <c r="C25" s="197"/>
      <c r="D25" s="198"/>
      <c r="E25" s="199"/>
      <c r="F25" s="200"/>
      <c r="G25" s="200"/>
      <c r="H25" s="200"/>
      <c r="I25" s="200"/>
    </row>
    <row r="26" spans="2:9" x14ac:dyDescent="0.2">
      <c r="B26" s="74"/>
      <c r="C26" s="197"/>
      <c r="D26" s="198"/>
      <c r="E26" s="199"/>
      <c r="F26" s="200"/>
      <c r="G26" s="200"/>
      <c r="H26" s="200"/>
      <c r="I26" s="200"/>
    </row>
    <row r="27" spans="2:9" x14ac:dyDescent="0.2">
      <c r="B27" s="74"/>
      <c r="C27" s="197"/>
      <c r="D27" s="198"/>
      <c r="E27" s="199"/>
      <c r="F27" s="200"/>
      <c r="G27" s="200"/>
      <c r="H27" s="200"/>
      <c r="I27" s="200"/>
    </row>
    <row r="28" spans="2:9" ht="16.5" thickBot="1" x14ac:dyDescent="0.25">
      <c r="B28" s="189"/>
      <c r="C28" s="559"/>
      <c r="D28" s="559"/>
      <c r="E28" s="559"/>
      <c r="F28" s="371" t="s">
        <v>178</v>
      </c>
      <c r="G28" s="201">
        <f>SUM(G10:G27)</f>
        <v>46721</v>
      </c>
      <c r="H28" s="201">
        <f>SUM(H10:H27)</f>
        <v>13946</v>
      </c>
      <c r="I28" s="201">
        <f>SUM(I10:I27)</f>
        <v>10925</v>
      </c>
    </row>
    <row r="29" spans="2:9" ht="16.5" thickTop="1" x14ac:dyDescent="0.2">
      <c r="B29" s="33"/>
      <c r="C29" s="33"/>
      <c r="D29" s="33"/>
      <c r="E29" s="33"/>
      <c r="F29" s="33"/>
      <c r="G29" s="33"/>
      <c r="H29" s="51"/>
      <c r="I29" s="51"/>
    </row>
    <row r="30" spans="2:9" x14ac:dyDescent="0.2">
      <c r="B30" s="651" t="s">
        <v>263</v>
      </c>
      <c r="C30" s="651"/>
      <c r="D30" s="651"/>
      <c r="E30" s="651"/>
      <c r="F30" s="651"/>
      <c r="G30" s="651"/>
      <c r="H30" s="51"/>
      <c r="I30" s="51"/>
    </row>
  </sheetData>
  <sheetProtection sheet="1"/>
  <mergeCells count="1">
    <mergeCell ref="B30:G30"/>
  </mergeCells>
  <phoneticPr fontId="0" type="noConversion"/>
  <pageMargins left="0.83" right="0.25" top="1" bottom="0.5" header="0.5" footer="0.5"/>
  <pageSetup scale="80" orientation="landscape" blackAndWhite="1" horizontalDpi="120" verticalDpi="144" r:id="rId1"/>
  <headerFooter alignWithMargins="0">
    <oddHeader>&amp;RState of Kansas
City</oddHeader>
    <oddFooter>&amp;CPage No. 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B1:I106"/>
  <sheetViews>
    <sheetView zoomScaleNormal="100" workbookViewId="0">
      <selection activeCell="I22" sqref="I22"/>
    </sheetView>
  </sheetViews>
  <sheetFormatPr defaultColWidth="8.88671875" defaultRowHeight="15" x14ac:dyDescent="0.2"/>
  <cols>
    <col min="1" max="1" width="2.5546875" style="373" customWidth="1"/>
    <col min="2" max="4" width="8.88671875" style="373"/>
    <col min="5" max="5" width="9.6640625" style="373" customWidth="1"/>
    <col min="6" max="6" width="8.88671875" style="373"/>
    <col min="7" max="7" width="9.6640625" style="373" customWidth="1"/>
    <col min="8" max="16384" width="8.88671875" style="373"/>
  </cols>
  <sheetData>
    <row r="1" spans="2:9" ht="15.75" x14ac:dyDescent="0.25">
      <c r="B1" s="372"/>
      <c r="C1" s="372"/>
      <c r="D1" s="372"/>
      <c r="E1" s="372"/>
      <c r="F1" s="372"/>
      <c r="G1" s="372"/>
      <c r="H1" s="372"/>
      <c r="I1" s="372"/>
    </row>
    <row r="2" spans="2:9" ht="15.75" x14ac:dyDescent="0.2">
      <c r="B2" s="654" t="s">
        <v>264</v>
      </c>
      <c r="C2" s="654"/>
      <c r="D2" s="654"/>
      <c r="E2" s="654"/>
      <c r="F2" s="654"/>
      <c r="G2" s="654"/>
      <c r="H2" s="654"/>
      <c r="I2" s="654"/>
    </row>
    <row r="3" spans="2:9" ht="15.75" x14ac:dyDescent="0.2">
      <c r="B3" s="654" t="s">
        <v>265</v>
      </c>
      <c r="C3" s="654"/>
      <c r="D3" s="654"/>
      <c r="E3" s="654"/>
      <c r="F3" s="654"/>
      <c r="G3" s="654"/>
      <c r="H3" s="654"/>
      <c r="I3" s="654"/>
    </row>
    <row r="4" spans="2:9" ht="15.75" x14ac:dyDescent="0.2">
      <c r="B4" s="374"/>
      <c r="C4" s="374"/>
      <c r="D4" s="374"/>
      <c r="E4" s="374"/>
      <c r="F4" s="374"/>
      <c r="G4" s="374"/>
      <c r="H4" s="374"/>
      <c r="I4" s="374"/>
    </row>
    <row r="5" spans="2:9" ht="15.75" x14ac:dyDescent="0.2">
      <c r="B5" s="655" t="str">
        <f>CONCATENATE("Budgeted Year: ",inputPrYr!C6,"")</f>
        <v>Budgeted Year: 2026</v>
      </c>
      <c r="C5" s="655"/>
      <c r="D5" s="655"/>
      <c r="E5" s="655"/>
      <c r="F5" s="655"/>
      <c r="G5" s="655"/>
      <c r="H5" s="655"/>
      <c r="I5" s="655"/>
    </row>
    <row r="6" spans="2:9" ht="15.75" x14ac:dyDescent="0.2">
      <c r="B6" s="375"/>
      <c r="C6" s="374"/>
      <c r="D6" s="374"/>
      <c r="E6" s="374"/>
      <c r="F6" s="374"/>
      <c r="G6" s="374"/>
      <c r="H6" s="374"/>
      <c r="I6" s="374"/>
    </row>
    <row r="7" spans="2:9" ht="15.75" x14ac:dyDescent="0.2">
      <c r="B7" s="375" t="str">
        <f>CONCATENATE("Library found in: ",inputPrYr!D3,"")</f>
        <v>Library found in: City of Concordia</v>
      </c>
      <c r="C7" s="374"/>
      <c r="D7" s="374"/>
      <c r="E7" s="374"/>
      <c r="F7" s="374"/>
      <c r="G7" s="374"/>
      <c r="H7" s="374"/>
      <c r="I7" s="374"/>
    </row>
    <row r="8" spans="2:9" ht="15.75" x14ac:dyDescent="0.2">
      <c r="B8" s="375" t="str">
        <f>inputPrYr!D4</f>
        <v>Cloud County</v>
      </c>
      <c r="C8" s="374"/>
      <c r="D8" s="374"/>
      <c r="E8" s="374"/>
      <c r="F8" s="374"/>
      <c r="G8" s="374"/>
      <c r="H8" s="374"/>
      <c r="I8" s="374"/>
    </row>
    <row r="9" spans="2:9" ht="15.75" x14ac:dyDescent="0.2">
      <c r="B9" s="374"/>
      <c r="C9" s="374"/>
      <c r="D9" s="374"/>
      <c r="E9" s="374"/>
      <c r="F9" s="374"/>
      <c r="G9" s="374"/>
      <c r="H9" s="374"/>
      <c r="I9" s="374"/>
    </row>
    <row r="10" spans="2:9" ht="39" customHeight="1" x14ac:dyDescent="0.2">
      <c r="B10" s="656" t="s">
        <v>266</v>
      </c>
      <c r="C10" s="656"/>
      <c r="D10" s="656"/>
      <c r="E10" s="656"/>
      <c r="F10" s="656"/>
      <c r="G10" s="656"/>
      <c r="H10" s="656"/>
      <c r="I10" s="656"/>
    </row>
    <row r="11" spans="2:9" ht="15.75" x14ac:dyDescent="0.2">
      <c r="B11" s="374"/>
      <c r="C11" s="374"/>
      <c r="D11" s="374"/>
      <c r="E11" s="374"/>
      <c r="F11" s="374"/>
      <c r="G11" s="374"/>
      <c r="H11" s="374"/>
      <c r="I11" s="374"/>
    </row>
    <row r="12" spans="2:9" ht="15.75" x14ac:dyDescent="0.2">
      <c r="B12" s="376" t="s">
        <v>267</v>
      </c>
      <c r="C12" s="374"/>
      <c r="D12" s="374"/>
      <c r="E12" s="374"/>
      <c r="F12" s="374"/>
      <c r="G12" s="374"/>
      <c r="H12" s="374"/>
      <c r="I12" s="374"/>
    </row>
    <row r="13" spans="2:9" ht="15.75" x14ac:dyDescent="0.2">
      <c r="B13" s="374"/>
      <c r="C13" s="374"/>
      <c r="D13" s="374"/>
      <c r="E13" s="377" t="s">
        <v>268</v>
      </c>
      <c r="F13" s="374"/>
      <c r="G13" s="377" t="s">
        <v>269</v>
      </c>
      <c r="H13" s="374"/>
      <c r="I13" s="374"/>
    </row>
    <row r="14" spans="2:9" ht="15.75" x14ac:dyDescent="0.2">
      <c r="B14" s="374"/>
      <c r="C14" s="374"/>
      <c r="D14" s="374"/>
      <c r="E14" s="378">
        <f>inputPrYr!C6-1</f>
        <v>2025</v>
      </c>
      <c r="F14" s="374"/>
      <c r="G14" s="378">
        <f>inputPrYr!C6</f>
        <v>2026</v>
      </c>
      <c r="H14" s="374"/>
      <c r="I14" s="374"/>
    </row>
    <row r="15" spans="2:9" ht="15.75" x14ac:dyDescent="0.2">
      <c r="B15" s="375" t="str">
        <f>'DebtSvs-Library'!B55</f>
        <v>Ad Valorem Tax</v>
      </c>
      <c r="C15" s="374"/>
      <c r="D15" s="374"/>
      <c r="E15" s="379">
        <f>'DebtSvs-Library'!D55</f>
        <v>174951</v>
      </c>
      <c r="F15" s="374"/>
      <c r="G15" s="379">
        <f>'DebtSvs-Library'!E83</f>
        <v>183497</v>
      </c>
      <c r="H15" s="374"/>
      <c r="I15" s="374"/>
    </row>
    <row r="16" spans="2:9" ht="15.75" x14ac:dyDescent="0.2">
      <c r="B16" s="375" t="str">
        <f>'DebtSvs-Library'!B56</f>
        <v>Delinquent Tax</v>
      </c>
      <c r="C16" s="374"/>
      <c r="D16" s="374"/>
      <c r="E16" s="379">
        <f>'DebtSvs-Library'!D56</f>
        <v>0</v>
      </c>
      <c r="F16" s="374"/>
      <c r="G16" s="379">
        <f>'DebtSvs-Library'!E56</f>
        <v>0</v>
      </c>
      <c r="H16" s="374"/>
      <c r="I16" s="374"/>
    </row>
    <row r="17" spans="2:9" ht="15.75" x14ac:dyDescent="0.2">
      <c r="B17" s="375" t="str">
        <f>'DebtSvs-Library'!B57</f>
        <v>Motor Vehicle Tax</v>
      </c>
      <c r="C17" s="374"/>
      <c r="D17" s="374"/>
      <c r="E17" s="379">
        <f>'DebtSvs-Library'!D57</f>
        <v>19000</v>
      </c>
      <c r="F17" s="374"/>
      <c r="G17" s="379">
        <f>'DebtSvs-Library'!E57</f>
        <v>19943</v>
      </c>
      <c r="H17" s="374"/>
      <c r="I17" s="374"/>
    </row>
    <row r="18" spans="2:9" ht="15.75" x14ac:dyDescent="0.2">
      <c r="B18" s="375" t="str">
        <f>'DebtSvs-Library'!B58</f>
        <v>Recreational Vehicle Tax</v>
      </c>
      <c r="C18" s="374"/>
      <c r="D18" s="374"/>
      <c r="E18" s="379">
        <f>'DebtSvs-Library'!D58</f>
        <v>265</v>
      </c>
      <c r="F18" s="374"/>
      <c r="G18" s="379">
        <f>'DebtSvs-Library'!E58</f>
        <v>265</v>
      </c>
      <c r="H18" s="374"/>
      <c r="I18" s="374"/>
    </row>
    <row r="19" spans="2:9" ht="15.75" x14ac:dyDescent="0.2">
      <c r="B19" s="375" t="str">
        <f>'DebtSvs-Library'!B59</f>
        <v>16/20M Vehicle Tax</v>
      </c>
      <c r="C19" s="374"/>
      <c r="D19" s="374"/>
      <c r="E19" s="379">
        <f>'DebtSvs-Library'!D59</f>
        <v>147</v>
      </c>
      <c r="F19" s="374"/>
      <c r="G19" s="379">
        <f>'DebtSvs-Library'!E59</f>
        <v>119</v>
      </c>
      <c r="H19" s="374"/>
      <c r="I19" s="374"/>
    </row>
    <row r="20" spans="2:9" ht="15.75" x14ac:dyDescent="0.2">
      <c r="B20" s="374" t="s">
        <v>270</v>
      </c>
      <c r="C20" s="374"/>
      <c r="D20" s="374"/>
      <c r="E20" s="380">
        <f>SUM(E15:E19)</f>
        <v>194363</v>
      </c>
      <c r="F20" s="374"/>
      <c r="G20" s="380">
        <f>SUM(G15:G19)</f>
        <v>203824</v>
      </c>
      <c r="H20" s="374"/>
      <c r="I20" s="374"/>
    </row>
    <row r="21" spans="2:9" ht="15.75" x14ac:dyDescent="0.2">
      <c r="B21" s="374" t="s">
        <v>271</v>
      </c>
      <c r="C21" s="374"/>
      <c r="D21" s="374"/>
      <c r="E21" s="381">
        <f>G20-E20</f>
        <v>9461</v>
      </c>
      <c r="F21" s="374"/>
      <c r="G21" s="379"/>
      <c r="H21" s="374"/>
      <c r="I21" s="374"/>
    </row>
    <row r="22" spans="2:9" ht="15.75" x14ac:dyDescent="0.2">
      <c r="B22" s="374" t="s">
        <v>272</v>
      </c>
      <c r="C22" s="374"/>
      <c r="D22" s="382" t="str">
        <f>IF((G20-E20)&gt;=0,"Qualify","Not Qualify")</f>
        <v>Qualify</v>
      </c>
      <c r="E22" s="374"/>
      <c r="F22" s="374"/>
      <c r="G22" s="374"/>
      <c r="H22" s="374"/>
      <c r="I22" s="374"/>
    </row>
    <row r="23" spans="2:9" ht="15.75" x14ac:dyDescent="0.2">
      <c r="B23" s="374"/>
      <c r="C23" s="374"/>
      <c r="D23" s="374"/>
      <c r="E23" s="374"/>
      <c r="F23" s="374"/>
      <c r="G23" s="374"/>
      <c r="H23" s="374"/>
      <c r="I23" s="374"/>
    </row>
    <row r="24" spans="2:9" ht="15.75" x14ac:dyDescent="0.2">
      <c r="B24" s="376" t="s">
        <v>273</v>
      </c>
      <c r="C24" s="374"/>
      <c r="D24" s="374"/>
      <c r="E24" s="374"/>
      <c r="F24" s="374"/>
      <c r="G24" s="374"/>
      <c r="H24" s="374"/>
      <c r="I24" s="374"/>
    </row>
    <row r="25" spans="2:9" ht="15.75" x14ac:dyDescent="0.2">
      <c r="B25" s="374" t="s">
        <v>274</v>
      </c>
      <c r="C25" s="374"/>
      <c r="D25" s="374"/>
      <c r="E25" s="379" t="e">
        <f>#REF!</f>
        <v>#REF!</v>
      </c>
      <c r="F25" s="374"/>
      <c r="G25" s="379" t="e">
        <f>#REF!</f>
        <v>#REF!</v>
      </c>
      <c r="H25" s="374"/>
      <c r="I25" s="374"/>
    </row>
    <row r="26" spans="2:9" ht="15.75" x14ac:dyDescent="0.2">
      <c r="B26" s="374" t="s">
        <v>275</v>
      </c>
      <c r="C26" s="374"/>
      <c r="D26" s="374"/>
      <c r="E26" s="383" t="e">
        <f>IF(G25-E25&gt;=0,"No","Yes")</f>
        <v>#REF!</v>
      </c>
      <c r="F26" s="374"/>
      <c r="G26" s="374"/>
      <c r="H26" s="374"/>
      <c r="I26" s="374"/>
    </row>
    <row r="27" spans="2:9" ht="15.75" x14ac:dyDescent="0.2">
      <c r="B27" s="374" t="s">
        <v>276</v>
      </c>
      <c r="C27" s="374"/>
      <c r="D27" s="374"/>
      <c r="E27" s="377" t="e">
        <f>#REF!</f>
        <v>#REF!</v>
      </c>
      <c r="F27" s="374"/>
      <c r="G27" s="384" t="e">
        <f>#REF!</f>
        <v>#REF!</v>
      </c>
      <c r="H27" s="374"/>
      <c r="I27" s="374"/>
    </row>
    <row r="28" spans="2:9" ht="15.75" x14ac:dyDescent="0.2">
      <c r="B28" s="374" t="s">
        <v>277</v>
      </c>
      <c r="C28" s="374"/>
      <c r="D28" s="374"/>
      <c r="E28" s="385" t="e">
        <f>G27-E27</f>
        <v>#REF!</v>
      </c>
      <c r="F28" s="374"/>
      <c r="G28" s="374"/>
      <c r="H28" s="374"/>
      <c r="I28" s="374"/>
    </row>
    <row r="29" spans="2:9" ht="15.75" x14ac:dyDescent="0.2">
      <c r="B29" s="374" t="s">
        <v>272</v>
      </c>
      <c r="C29" s="374"/>
      <c r="D29" s="386" t="e">
        <f>IF(E28&gt;=0,"Qualify","Not Qualify")</f>
        <v>#REF!</v>
      </c>
      <c r="E29" s="374"/>
      <c r="F29" s="374"/>
      <c r="G29" s="374"/>
      <c r="H29" s="374"/>
      <c r="I29" s="374"/>
    </row>
    <row r="30" spans="2:9" ht="15.75" x14ac:dyDescent="0.2">
      <c r="B30" s="374"/>
      <c r="C30" s="374"/>
      <c r="D30" s="374"/>
      <c r="E30" s="374"/>
      <c r="F30" s="374"/>
      <c r="G30" s="374"/>
      <c r="H30" s="374"/>
      <c r="I30" s="374"/>
    </row>
    <row r="31" spans="2:9" ht="15.75" x14ac:dyDescent="0.2">
      <c r="B31" s="374" t="s">
        <v>278</v>
      </c>
      <c r="C31" s="374"/>
      <c r="D31" s="374"/>
      <c r="E31" s="374"/>
      <c r="F31" s="387" t="str">
        <f>IF(D22="Not Qualify",IF(D29="Not Qualify",IF(D29="Not Qualify","Not Qualify","Qualify"),"Qualify"),"Qualify")</f>
        <v>Qualify</v>
      </c>
      <c r="G31" s="374"/>
      <c r="H31" s="374"/>
      <c r="I31" s="374"/>
    </row>
    <row r="32" spans="2:9" ht="15.75" x14ac:dyDescent="0.2">
      <c r="B32" s="374"/>
      <c r="C32" s="374"/>
      <c r="D32" s="374"/>
      <c r="E32" s="374"/>
      <c r="F32" s="374"/>
      <c r="G32" s="374"/>
      <c r="H32" s="374"/>
      <c r="I32" s="374"/>
    </row>
    <row r="33" spans="2:9" ht="15.75" x14ac:dyDescent="0.2">
      <c r="B33" s="374"/>
      <c r="C33" s="374"/>
      <c r="D33" s="374"/>
      <c r="E33" s="374"/>
      <c r="F33" s="374"/>
      <c r="G33" s="374"/>
      <c r="H33" s="374"/>
      <c r="I33" s="374"/>
    </row>
    <row r="34" spans="2:9" ht="15.75" x14ac:dyDescent="0.2">
      <c r="B34" s="656" t="s">
        <v>279</v>
      </c>
      <c r="C34" s="656"/>
      <c r="D34" s="656"/>
      <c r="E34" s="656"/>
      <c r="F34" s="656"/>
      <c r="G34" s="656"/>
      <c r="H34" s="656"/>
      <c r="I34" s="656"/>
    </row>
    <row r="35" spans="2:9" ht="15.75" x14ac:dyDescent="0.2">
      <c r="B35" s="374"/>
      <c r="C35" s="374"/>
      <c r="D35" s="374"/>
      <c r="E35" s="374"/>
      <c r="F35" s="374"/>
      <c r="G35" s="374"/>
      <c r="H35" s="374"/>
      <c r="I35" s="374"/>
    </row>
    <row r="36" spans="2:9" ht="37.5" customHeight="1" x14ac:dyDescent="0.2">
      <c r="B36" s="374"/>
      <c r="C36" s="374"/>
      <c r="D36" s="374"/>
      <c r="E36" s="374"/>
      <c r="F36" s="374"/>
      <c r="G36" s="374"/>
      <c r="H36" s="374"/>
      <c r="I36" s="374"/>
    </row>
    <row r="37" spans="2:9" ht="15.75" x14ac:dyDescent="0.2">
      <c r="B37" s="374"/>
      <c r="C37" s="374"/>
      <c r="D37" s="374"/>
      <c r="E37" s="374"/>
      <c r="F37" s="374"/>
      <c r="G37" s="374"/>
      <c r="H37" s="374"/>
      <c r="I37" s="374"/>
    </row>
    <row r="38" spans="2:9" ht="15.75" x14ac:dyDescent="0.2">
      <c r="B38" s="374"/>
      <c r="C38" s="374"/>
      <c r="D38" s="374"/>
      <c r="E38" s="388" t="s">
        <v>280</v>
      </c>
      <c r="F38" s="389">
        <v>6</v>
      </c>
      <c r="G38" s="374"/>
      <c r="H38" s="374"/>
      <c r="I38" s="374"/>
    </row>
    <row r="39" spans="2:9" ht="15.75" x14ac:dyDescent="0.2">
      <c r="B39" s="374"/>
      <c r="C39" s="374"/>
      <c r="D39" s="374"/>
      <c r="E39" s="374"/>
      <c r="F39" s="374"/>
      <c r="G39" s="374"/>
      <c r="H39" s="374"/>
      <c r="I39" s="374"/>
    </row>
    <row r="40" spans="2:9" ht="15.75" x14ac:dyDescent="0.2">
      <c r="B40" s="374"/>
      <c r="C40" s="374"/>
      <c r="D40" s="374"/>
      <c r="E40" s="374"/>
      <c r="F40" s="374"/>
      <c r="G40" s="374"/>
      <c r="H40" s="374"/>
      <c r="I40" s="374"/>
    </row>
    <row r="41" spans="2:9" ht="15.75" x14ac:dyDescent="0.25">
      <c r="B41" s="652" t="s">
        <v>281</v>
      </c>
      <c r="C41" s="653"/>
      <c r="D41" s="653"/>
      <c r="E41" s="653"/>
      <c r="F41" s="653"/>
      <c r="G41" s="653"/>
      <c r="H41" s="653"/>
      <c r="I41" s="653"/>
    </row>
    <row r="42" spans="2:9" ht="15.75" x14ac:dyDescent="0.2">
      <c r="B42" s="374"/>
      <c r="C42" s="374"/>
      <c r="D42" s="374"/>
      <c r="E42" s="374"/>
      <c r="F42" s="374"/>
      <c r="G42" s="374"/>
      <c r="H42" s="374"/>
      <c r="I42" s="374"/>
    </row>
    <row r="43" spans="2:9" ht="15.75" x14ac:dyDescent="0.25">
      <c r="B43" s="390" t="s">
        <v>282</v>
      </c>
      <c r="C43" s="374"/>
      <c r="D43" s="374"/>
      <c r="E43" s="374"/>
      <c r="F43" s="374"/>
      <c r="G43" s="374"/>
      <c r="H43" s="374"/>
      <c r="I43" s="374"/>
    </row>
    <row r="44" spans="2:9" ht="15.75" x14ac:dyDescent="0.25">
      <c r="B44" s="390" t="str">
        <f>CONCATENATE("sources in your ",G14," library fund is not equal to or greater than the amount from the same")</f>
        <v>sources in your 2026 library fund is not equal to or greater than the amount from the same</v>
      </c>
      <c r="C44" s="374"/>
      <c r="D44" s="374"/>
      <c r="E44" s="374"/>
      <c r="F44" s="374"/>
      <c r="G44" s="374"/>
      <c r="H44" s="374"/>
      <c r="I44" s="374"/>
    </row>
    <row r="45" spans="2:9" ht="15.75" x14ac:dyDescent="0.25">
      <c r="B45" s="390" t="str">
        <f>CONCATENATE("sources in ",E14,".")</f>
        <v>sources in 2025.</v>
      </c>
      <c r="C45" s="372"/>
      <c r="D45" s="372"/>
      <c r="E45" s="372"/>
      <c r="F45" s="372"/>
      <c r="G45" s="372"/>
      <c r="H45" s="372"/>
      <c r="I45" s="372"/>
    </row>
    <row r="46" spans="2:9" ht="15.75" x14ac:dyDescent="0.25">
      <c r="B46" s="372"/>
      <c r="C46" s="372"/>
      <c r="D46" s="372"/>
      <c r="E46" s="372"/>
      <c r="F46" s="372"/>
      <c r="G46" s="372"/>
      <c r="H46" s="372"/>
      <c r="I46" s="372"/>
    </row>
    <row r="47" spans="2:9" ht="15.75" x14ac:dyDescent="0.25">
      <c r="B47" s="390" t="s">
        <v>283</v>
      </c>
      <c r="C47" s="390"/>
      <c r="D47" s="391"/>
      <c r="E47" s="391"/>
      <c r="F47" s="391"/>
      <c r="G47" s="391"/>
      <c r="H47" s="391"/>
      <c r="I47" s="391"/>
    </row>
    <row r="48" spans="2:9" ht="15.75" x14ac:dyDescent="0.25">
      <c r="B48" s="390" t="s">
        <v>284</v>
      </c>
      <c r="C48" s="390"/>
      <c r="D48" s="391"/>
      <c r="E48" s="391"/>
      <c r="F48" s="391"/>
      <c r="G48" s="391"/>
      <c r="H48" s="391"/>
      <c r="I48" s="391"/>
    </row>
    <row r="49" spans="2:9" ht="15.75" x14ac:dyDescent="0.25">
      <c r="B49" s="390" t="s">
        <v>285</v>
      </c>
      <c r="C49" s="390"/>
      <c r="D49" s="391"/>
      <c r="E49" s="391"/>
      <c r="F49" s="391"/>
      <c r="G49" s="391"/>
      <c r="H49" s="391"/>
      <c r="I49" s="391"/>
    </row>
    <row r="50" spans="2:9" x14ac:dyDescent="0.2">
      <c r="B50" s="391"/>
      <c r="C50" s="391"/>
      <c r="D50" s="391"/>
      <c r="E50" s="391"/>
      <c r="F50" s="391"/>
      <c r="G50" s="391"/>
      <c r="H50" s="391"/>
      <c r="I50" s="391"/>
    </row>
    <row r="51" spans="2:9" ht="15.75" x14ac:dyDescent="0.25">
      <c r="B51" s="392" t="s">
        <v>286</v>
      </c>
      <c r="C51" s="391"/>
      <c r="D51" s="391"/>
      <c r="E51" s="391"/>
      <c r="F51" s="391"/>
      <c r="G51" s="391"/>
      <c r="H51" s="391"/>
      <c r="I51" s="391"/>
    </row>
    <row r="52" spans="2:9" x14ac:dyDescent="0.2">
      <c r="B52" s="391"/>
      <c r="C52" s="391"/>
      <c r="D52" s="391"/>
      <c r="E52" s="391"/>
      <c r="F52" s="391"/>
      <c r="G52" s="391"/>
      <c r="H52" s="391"/>
      <c r="I52" s="391"/>
    </row>
    <row r="53" spans="2:9" ht="15.75" x14ac:dyDescent="0.25">
      <c r="B53" s="390" t="s">
        <v>287</v>
      </c>
      <c r="C53" s="391"/>
      <c r="D53" s="391"/>
      <c r="E53" s="391"/>
      <c r="F53" s="391"/>
      <c r="G53" s="391"/>
      <c r="H53" s="391"/>
      <c r="I53" s="391"/>
    </row>
    <row r="54" spans="2:9" ht="15.75" x14ac:dyDescent="0.25">
      <c r="B54" s="390" t="s">
        <v>288</v>
      </c>
      <c r="C54" s="391"/>
      <c r="D54" s="391"/>
      <c r="E54" s="391"/>
      <c r="F54" s="391"/>
      <c r="G54" s="391"/>
      <c r="H54" s="391"/>
      <c r="I54" s="391"/>
    </row>
    <row r="55" spans="2:9" x14ac:dyDescent="0.2">
      <c r="B55" s="391"/>
      <c r="C55" s="391"/>
      <c r="D55" s="391"/>
      <c r="E55" s="391"/>
      <c r="F55" s="391"/>
      <c r="G55" s="391"/>
      <c r="H55" s="391"/>
      <c r="I55" s="391"/>
    </row>
    <row r="56" spans="2:9" ht="15.75" x14ac:dyDescent="0.25">
      <c r="B56" s="392" t="s">
        <v>289</v>
      </c>
      <c r="C56" s="390"/>
      <c r="D56" s="390"/>
      <c r="E56" s="390"/>
      <c r="F56" s="390"/>
      <c r="G56" s="391"/>
      <c r="H56" s="391"/>
      <c r="I56" s="391"/>
    </row>
    <row r="57" spans="2:9" ht="15.75" x14ac:dyDescent="0.25">
      <c r="B57" s="390"/>
      <c r="C57" s="390"/>
      <c r="D57" s="390"/>
      <c r="E57" s="390"/>
      <c r="F57" s="390"/>
      <c r="G57" s="391"/>
      <c r="H57" s="391"/>
      <c r="I57" s="391"/>
    </row>
    <row r="58" spans="2:9" ht="15.75" x14ac:dyDescent="0.25">
      <c r="B58" s="390" t="s">
        <v>290</v>
      </c>
      <c r="C58" s="390"/>
      <c r="D58" s="390"/>
      <c r="E58" s="390"/>
      <c r="F58" s="390"/>
      <c r="G58" s="391"/>
      <c r="H58" s="391"/>
      <c r="I58" s="391"/>
    </row>
    <row r="59" spans="2:9" ht="15.75" x14ac:dyDescent="0.25">
      <c r="B59" s="390" t="s">
        <v>291</v>
      </c>
      <c r="C59" s="390"/>
      <c r="D59" s="390"/>
      <c r="E59" s="390"/>
      <c r="F59" s="390"/>
      <c r="G59" s="391"/>
      <c r="H59" s="391"/>
      <c r="I59" s="391"/>
    </row>
    <row r="60" spans="2:9" ht="15.75" x14ac:dyDescent="0.25">
      <c r="B60" s="390" t="s">
        <v>292</v>
      </c>
      <c r="C60" s="390"/>
      <c r="D60" s="390"/>
      <c r="E60" s="390"/>
      <c r="F60" s="390"/>
      <c r="G60" s="391"/>
      <c r="H60" s="391"/>
      <c r="I60" s="391"/>
    </row>
    <row r="61" spans="2:9" ht="15.75" x14ac:dyDescent="0.25">
      <c r="B61" s="390" t="s">
        <v>293</v>
      </c>
      <c r="C61" s="390"/>
      <c r="D61" s="390"/>
      <c r="E61" s="390"/>
      <c r="F61" s="390"/>
      <c r="G61" s="391"/>
      <c r="H61" s="391"/>
      <c r="I61" s="391"/>
    </row>
    <row r="62" spans="2:9" x14ac:dyDescent="0.2">
      <c r="B62" s="393"/>
      <c r="C62" s="393"/>
      <c r="D62" s="393"/>
      <c r="E62" s="393"/>
      <c r="F62" s="393"/>
      <c r="G62" s="391"/>
      <c r="H62" s="391"/>
      <c r="I62" s="391"/>
    </row>
    <row r="63" spans="2:9" ht="15.75" x14ac:dyDescent="0.25">
      <c r="B63" s="390" t="s">
        <v>294</v>
      </c>
      <c r="C63" s="393"/>
      <c r="D63" s="393"/>
      <c r="E63" s="393"/>
      <c r="F63" s="393"/>
      <c r="G63" s="391"/>
      <c r="H63" s="391"/>
      <c r="I63" s="391"/>
    </row>
    <row r="64" spans="2:9" ht="15.75" x14ac:dyDescent="0.25">
      <c r="B64" s="390" t="s">
        <v>295</v>
      </c>
      <c r="C64" s="393"/>
      <c r="D64" s="393"/>
      <c r="E64" s="393"/>
      <c r="F64" s="393"/>
      <c r="G64" s="391"/>
      <c r="H64" s="391"/>
      <c r="I64" s="391"/>
    </row>
    <row r="65" spans="2:9" x14ac:dyDescent="0.2">
      <c r="B65" s="393"/>
      <c r="C65" s="393"/>
      <c r="D65" s="393"/>
      <c r="E65" s="393"/>
      <c r="F65" s="393"/>
      <c r="G65" s="391"/>
      <c r="H65" s="391"/>
      <c r="I65" s="391"/>
    </row>
    <row r="66" spans="2:9" ht="15.75" x14ac:dyDescent="0.25">
      <c r="B66" s="390" t="s">
        <v>296</v>
      </c>
      <c r="C66" s="393"/>
      <c r="D66" s="393"/>
      <c r="E66" s="393"/>
      <c r="F66" s="393"/>
      <c r="G66" s="391"/>
      <c r="H66" s="391"/>
      <c r="I66" s="391"/>
    </row>
    <row r="67" spans="2:9" ht="15.75" x14ac:dyDescent="0.25">
      <c r="B67" s="390" t="s">
        <v>297</v>
      </c>
      <c r="C67" s="393"/>
      <c r="D67" s="393"/>
      <c r="E67" s="393"/>
      <c r="F67" s="393"/>
      <c r="G67" s="391"/>
      <c r="H67" s="391"/>
      <c r="I67" s="391"/>
    </row>
    <row r="68" spans="2:9" x14ac:dyDescent="0.2">
      <c r="B68" s="393"/>
      <c r="C68" s="393"/>
      <c r="D68" s="393"/>
      <c r="E68" s="393"/>
      <c r="F68" s="393"/>
      <c r="G68" s="391"/>
      <c r="H68" s="391"/>
      <c r="I68" s="391"/>
    </row>
    <row r="69" spans="2:9" ht="15.75" x14ac:dyDescent="0.25">
      <c r="B69" s="392" t="s">
        <v>298</v>
      </c>
      <c r="C69" s="393"/>
      <c r="D69" s="393"/>
      <c r="E69" s="393"/>
      <c r="F69" s="393"/>
      <c r="G69" s="391"/>
      <c r="H69" s="391"/>
      <c r="I69" s="391"/>
    </row>
    <row r="70" spans="2:9" x14ac:dyDescent="0.2">
      <c r="B70" s="393"/>
      <c r="C70" s="393"/>
      <c r="D70" s="393"/>
      <c r="E70" s="393"/>
      <c r="F70" s="393"/>
      <c r="G70" s="391"/>
      <c r="H70" s="391"/>
      <c r="I70" s="391"/>
    </row>
    <row r="71" spans="2:9" ht="15.75" x14ac:dyDescent="0.25">
      <c r="B71" s="390" t="s">
        <v>299</v>
      </c>
      <c r="C71" s="393"/>
      <c r="D71" s="393"/>
      <c r="E71" s="393"/>
      <c r="F71" s="393"/>
      <c r="G71" s="391"/>
      <c r="H71" s="391"/>
      <c r="I71" s="391"/>
    </row>
    <row r="72" spans="2:9" ht="15.75" x14ac:dyDescent="0.25">
      <c r="B72" s="390" t="s">
        <v>300</v>
      </c>
      <c r="C72" s="393"/>
      <c r="D72" s="393"/>
      <c r="E72" s="393"/>
      <c r="F72" s="393"/>
      <c r="G72" s="391"/>
      <c r="H72" s="391"/>
      <c r="I72" s="391"/>
    </row>
    <row r="73" spans="2:9" x14ac:dyDescent="0.2">
      <c r="B73" s="393"/>
      <c r="C73" s="393"/>
      <c r="D73" s="393"/>
      <c r="E73" s="393"/>
      <c r="F73" s="393"/>
      <c r="G73" s="391"/>
      <c r="H73" s="391"/>
      <c r="I73" s="391"/>
    </row>
    <row r="74" spans="2:9" ht="15.75" x14ac:dyDescent="0.25">
      <c r="B74" s="392" t="s">
        <v>301</v>
      </c>
      <c r="C74" s="393"/>
      <c r="D74" s="393"/>
      <c r="E74" s="393"/>
      <c r="F74" s="393"/>
      <c r="G74" s="391"/>
      <c r="H74" s="391"/>
      <c r="I74" s="391"/>
    </row>
    <row r="75" spans="2:9" x14ac:dyDescent="0.2">
      <c r="B75" s="393"/>
      <c r="C75" s="393"/>
      <c r="D75" s="393"/>
      <c r="E75" s="393"/>
      <c r="F75" s="393"/>
      <c r="G75" s="391"/>
      <c r="H75" s="391"/>
      <c r="I75" s="391"/>
    </row>
    <row r="76" spans="2:9" ht="15.75" x14ac:dyDescent="0.25">
      <c r="B76" s="390" t="str">
        <f>CONCATENATE("If the ",G14," municipal budget has not been published and has not been submitted to the County")</f>
        <v>If the 2026 municipal budget has not been published and has not been submitted to the County</v>
      </c>
      <c r="C76" s="393"/>
      <c r="D76" s="393"/>
      <c r="E76" s="393"/>
      <c r="F76" s="393"/>
      <c r="G76" s="391"/>
      <c r="H76" s="391"/>
      <c r="I76" s="391"/>
    </row>
    <row r="77" spans="2:9" ht="15.75" x14ac:dyDescent="0.25">
      <c r="B77" s="390" t="s">
        <v>302</v>
      </c>
      <c r="C77" s="393"/>
      <c r="D77" s="393"/>
      <c r="E77" s="393"/>
      <c r="F77" s="393"/>
      <c r="G77" s="391"/>
      <c r="H77" s="391"/>
      <c r="I77" s="391"/>
    </row>
    <row r="78" spans="2:9" x14ac:dyDescent="0.2">
      <c r="B78" s="393"/>
      <c r="C78" s="393"/>
      <c r="D78" s="393"/>
      <c r="E78" s="393"/>
      <c r="F78" s="393"/>
      <c r="G78" s="391"/>
      <c r="H78" s="391"/>
      <c r="I78" s="391"/>
    </row>
    <row r="79" spans="2:9" ht="15.75" x14ac:dyDescent="0.25">
      <c r="B79" s="392" t="s">
        <v>303</v>
      </c>
      <c r="C79" s="393"/>
      <c r="D79" s="393"/>
      <c r="E79" s="393"/>
      <c r="F79" s="393"/>
      <c r="G79" s="391"/>
      <c r="H79" s="391"/>
      <c r="I79" s="391"/>
    </row>
    <row r="80" spans="2:9" x14ac:dyDescent="0.2">
      <c r="B80" s="393"/>
      <c r="C80" s="393"/>
      <c r="D80" s="393"/>
      <c r="E80" s="393"/>
      <c r="F80" s="393"/>
      <c r="G80" s="391"/>
      <c r="H80" s="391"/>
      <c r="I80" s="391"/>
    </row>
    <row r="81" spans="2:9" ht="15.75" x14ac:dyDescent="0.25">
      <c r="B81" s="390" t="s">
        <v>304</v>
      </c>
      <c r="C81" s="393"/>
      <c r="D81" s="393"/>
      <c r="E81" s="393"/>
      <c r="F81" s="393"/>
      <c r="G81" s="391"/>
      <c r="H81" s="391"/>
      <c r="I81" s="391"/>
    </row>
    <row r="82" spans="2:9" ht="15.75" x14ac:dyDescent="0.25">
      <c r="B82" s="390" t="str">
        <f>CONCATENATE("Budget Year ",G14," is equal to or greater than that for Current Year Estimate ",E14,".")</f>
        <v>Budget Year 2026 is equal to or greater than that for Current Year Estimate 2025.</v>
      </c>
      <c r="C82" s="393"/>
      <c r="D82" s="393"/>
      <c r="E82" s="393"/>
      <c r="F82" s="393"/>
      <c r="G82" s="391"/>
      <c r="H82" s="391"/>
      <c r="I82" s="391"/>
    </row>
    <row r="83" spans="2:9" x14ac:dyDescent="0.2">
      <c r="B83" s="393"/>
      <c r="C83" s="393"/>
      <c r="D83" s="393"/>
      <c r="E83" s="393"/>
      <c r="F83" s="393"/>
      <c r="G83" s="391"/>
      <c r="H83" s="391"/>
      <c r="I83" s="391"/>
    </row>
    <row r="84" spans="2:9" ht="15.75" x14ac:dyDescent="0.25">
      <c r="B84" s="390" t="s">
        <v>305</v>
      </c>
      <c r="C84" s="393"/>
      <c r="D84" s="393"/>
      <c r="E84" s="393"/>
      <c r="F84" s="393"/>
      <c r="G84" s="391"/>
      <c r="H84" s="391"/>
      <c r="I84" s="391"/>
    </row>
    <row r="85" spans="2:9" ht="15.75" x14ac:dyDescent="0.25">
      <c r="B85" s="390" t="s">
        <v>306</v>
      </c>
      <c r="C85" s="393"/>
      <c r="D85" s="393"/>
      <c r="E85" s="393"/>
      <c r="F85" s="393"/>
      <c r="G85" s="391"/>
      <c r="H85" s="391"/>
      <c r="I85" s="391"/>
    </row>
    <row r="86" spans="2:9" ht="15.75" x14ac:dyDescent="0.25">
      <c r="B86" s="390" t="s">
        <v>307</v>
      </c>
      <c r="C86" s="393"/>
      <c r="D86" s="393"/>
      <c r="E86" s="393"/>
      <c r="F86" s="393"/>
      <c r="G86" s="391"/>
      <c r="H86" s="391"/>
      <c r="I86" s="391"/>
    </row>
    <row r="87" spans="2:9" ht="15.75" x14ac:dyDescent="0.25">
      <c r="B87" s="390" t="str">
        <f>CONCATENATE("purpose for the previous (",E14,") year.")</f>
        <v>purpose for the previous (2025) year.</v>
      </c>
      <c r="C87" s="393"/>
      <c r="D87" s="393"/>
      <c r="E87" s="393"/>
      <c r="F87" s="393"/>
      <c r="G87" s="391"/>
      <c r="H87" s="391"/>
      <c r="I87" s="391"/>
    </row>
    <row r="88" spans="2:9" x14ac:dyDescent="0.2">
      <c r="B88" s="393"/>
      <c r="C88" s="393"/>
      <c r="D88" s="393"/>
      <c r="E88" s="393"/>
      <c r="F88" s="393"/>
      <c r="G88" s="391"/>
      <c r="H88" s="391"/>
      <c r="I88" s="391"/>
    </row>
    <row r="89" spans="2:9" ht="15.75" x14ac:dyDescent="0.25">
      <c r="B89" s="390" t="str">
        <f>CONCATENATE("Next, look to see if delinquent tax for ",G14," is budgeted. Often this line is budgeted at $0 or left")</f>
        <v>Next, look to see if delinquent tax for 2026 is budgeted. Often this line is budgeted at $0 or left</v>
      </c>
      <c r="C89" s="393"/>
      <c r="D89" s="393"/>
      <c r="E89" s="393"/>
      <c r="F89" s="393"/>
      <c r="G89" s="391"/>
      <c r="H89" s="391"/>
      <c r="I89" s="391"/>
    </row>
    <row r="90" spans="2:9" ht="15.75" x14ac:dyDescent="0.25">
      <c r="B90" s="390" t="s">
        <v>308</v>
      </c>
      <c r="C90" s="393"/>
      <c r="D90" s="393"/>
      <c r="E90" s="393"/>
      <c r="F90" s="393"/>
      <c r="G90" s="391"/>
      <c r="H90" s="391"/>
      <c r="I90" s="391"/>
    </row>
    <row r="91" spans="2:9" ht="15.75" x14ac:dyDescent="0.25">
      <c r="B91" s="390" t="s">
        <v>309</v>
      </c>
      <c r="C91" s="393"/>
      <c r="D91" s="393"/>
      <c r="E91" s="393"/>
      <c r="F91" s="393"/>
      <c r="G91" s="391"/>
      <c r="H91" s="391"/>
      <c r="I91" s="391"/>
    </row>
    <row r="92" spans="2:9" ht="15.75" x14ac:dyDescent="0.25">
      <c r="B92" s="390" t="s">
        <v>310</v>
      </c>
      <c r="C92" s="393"/>
      <c r="D92" s="393"/>
      <c r="E92" s="393"/>
      <c r="F92" s="393"/>
      <c r="G92" s="391"/>
      <c r="H92" s="391"/>
      <c r="I92" s="391"/>
    </row>
    <row r="93" spans="2:9" x14ac:dyDescent="0.2">
      <c r="B93" s="393"/>
      <c r="C93" s="393"/>
      <c r="D93" s="393"/>
      <c r="E93" s="393"/>
      <c r="F93" s="393"/>
      <c r="G93" s="391"/>
      <c r="H93" s="391"/>
      <c r="I93" s="391"/>
    </row>
    <row r="94" spans="2:9" ht="15.75" x14ac:dyDescent="0.25">
      <c r="B94" s="392" t="s">
        <v>311</v>
      </c>
      <c r="C94" s="393"/>
      <c r="D94" s="393"/>
      <c r="E94" s="393"/>
      <c r="F94" s="393"/>
      <c r="G94" s="391"/>
      <c r="H94" s="391"/>
      <c r="I94" s="391"/>
    </row>
    <row r="95" spans="2:9" x14ac:dyDescent="0.2">
      <c r="B95" s="393"/>
      <c r="C95" s="393"/>
      <c r="D95" s="393"/>
      <c r="E95" s="393"/>
      <c r="F95" s="393"/>
      <c r="G95" s="391"/>
      <c r="H95" s="391"/>
      <c r="I95" s="391"/>
    </row>
    <row r="96" spans="2:9" ht="15.75" x14ac:dyDescent="0.25">
      <c r="B96" s="390" t="s">
        <v>312</v>
      </c>
      <c r="C96" s="393"/>
      <c r="D96" s="393"/>
      <c r="E96" s="393"/>
      <c r="F96" s="393"/>
      <c r="G96" s="391"/>
      <c r="H96" s="391"/>
      <c r="I96" s="391"/>
    </row>
    <row r="97" spans="2:9" ht="15.75" x14ac:dyDescent="0.25">
      <c r="B97" s="390" t="s">
        <v>313</v>
      </c>
      <c r="C97" s="393"/>
      <c r="D97" s="393"/>
      <c r="E97" s="393"/>
      <c r="F97" s="393"/>
      <c r="G97" s="391"/>
      <c r="H97" s="391"/>
      <c r="I97" s="391"/>
    </row>
    <row r="98" spans="2:9" x14ac:dyDescent="0.2">
      <c r="B98" s="393"/>
      <c r="C98" s="393"/>
      <c r="D98" s="393"/>
      <c r="E98" s="393"/>
      <c r="F98" s="393"/>
      <c r="G98" s="391"/>
      <c r="H98" s="391"/>
      <c r="I98" s="391"/>
    </row>
    <row r="99" spans="2:9" ht="15.75" x14ac:dyDescent="0.25">
      <c r="B99" s="390" t="s">
        <v>314</v>
      </c>
      <c r="C99" s="393"/>
      <c r="D99" s="393"/>
      <c r="E99" s="393"/>
      <c r="F99" s="393"/>
      <c r="G99" s="391"/>
      <c r="H99" s="391"/>
      <c r="I99" s="391"/>
    </row>
    <row r="100" spans="2:9" ht="15.75" x14ac:dyDescent="0.25">
      <c r="B100" s="390" t="s">
        <v>315</v>
      </c>
      <c r="C100" s="393"/>
      <c r="D100" s="393"/>
      <c r="E100" s="393"/>
      <c r="F100" s="393"/>
      <c r="G100" s="391"/>
      <c r="H100" s="391"/>
      <c r="I100" s="391"/>
    </row>
    <row r="101" spans="2:9" ht="15.75" x14ac:dyDescent="0.25">
      <c r="B101" s="390" t="s">
        <v>316</v>
      </c>
      <c r="C101" s="393"/>
      <c r="D101" s="393"/>
      <c r="E101" s="393"/>
      <c r="F101" s="393"/>
      <c r="G101" s="391"/>
      <c r="H101" s="391"/>
      <c r="I101" s="391"/>
    </row>
    <row r="102" spans="2:9" ht="15.75" x14ac:dyDescent="0.25">
      <c r="B102" s="390" t="s">
        <v>317</v>
      </c>
      <c r="C102" s="393"/>
      <c r="D102" s="393"/>
      <c r="E102" s="393"/>
      <c r="F102" s="393"/>
      <c r="G102" s="391"/>
      <c r="H102" s="391"/>
      <c r="I102" s="391"/>
    </row>
    <row r="103" spans="2:9" ht="15.75" x14ac:dyDescent="0.25">
      <c r="B103" s="423" t="s">
        <v>318</v>
      </c>
      <c r="C103" s="424"/>
      <c r="D103" s="424"/>
      <c r="E103" s="424"/>
      <c r="F103" s="424"/>
      <c r="G103" s="391"/>
      <c r="H103" s="391"/>
      <c r="I103" s="391"/>
    </row>
    <row r="106" spans="2:9" x14ac:dyDescent="0.2">
      <c r="G106" s="394"/>
    </row>
  </sheetData>
  <sheetProtection sheet="1"/>
  <mergeCells count="6">
    <mergeCell ref="B41:I41"/>
    <mergeCell ref="B2:I2"/>
    <mergeCell ref="B3:I3"/>
    <mergeCell ref="B5:I5"/>
    <mergeCell ref="B10:I10"/>
    <mergeCell ref="B34:I34"/>
  </mergeCells>
  <hyperlinks>
    <hyperlink ref="B103" r:id="rId1" xr:uid="{00000000-0004-0000-0B00-000000000000}"/>
  </hyperlinks>
  <pageMargins left="0.7" right="0.7" top="0.75" bottom="0.75" header="0.25" footer="0.25"/>
  <pageSetup scale="80" orientation="portrait" blackAndWhite="1" r:id="rId2"/>
  <headerFooter>
    <oddHeader>&amp;RState of Kansas
City</oddHeader>
  </headerFooter>
  <rowBreaks count="1" manualBreakCount="1">
    <brk id="40"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sheetPr>
  <dimension ref="B1:K126"/>
  <sheetViews>
    <sheetView topLeftCell="A88" zoomScaleNormal="100" zoomScaleSheetLayoutView="100" workbookViewId="0">
      <selection activeCell="E47" sqref="E47"/>
    </sheetView>
  </sheetViews>
  <sheetFormatPr defaultColWidth="8.88671875" defaultRowHeight="15.75" x14ac:dyDescent="0.2"/>
  <cols>
    <col min="1" max="1" width="2.44140625" style="64" customWidth="1"/>
    <col min="2" max="2" width="31.109375" style="64" customWidth="1"/>
    <col min="3" max="4" width="15.77734375" style="64" customWidth="1"/>
    <col min="5" max="5" width="16.33203125" style="64" customWidth="1"/>
    <col min="6" max="6" width="8.109375" style="64" customWidth="1"/>
    <col min="7" max="7" width="10.21875" style="64" customWidth="1"/>
    <col min="8" max="8" width="8.88671875" style="64"/>
    <col min="9" max="9" width="5.77734375" style="64" customWidth="1"/>
    <col min="10" max="10" width="10.21875" style="64" customWidth="1"/>
    <col min="11" max="16384" width="8.88671875" style="64"/>
  </cols>
  <sheetData>
    <row r="1" spans="2:8" x14ac:dyDescent="0.2">
      <c r="B1" s="51" t="str">
        <f>inputPrYr!D3</f>
        <v>City of Concordia</v>
      </c>
      <c r="C1" s="33"/>
      <c r="D1" s="33"/>
      <c r="E1" s="564">
        <f>inputPrYr!C6</f>
        <v>2026</v>
      </c>
    </row>
    <row r="2" spans="2:8" x14ac:dyDescent="0.2">
      <c r="B2" s="33"/>
      <c r="C2" s="33"/>
      <c r="D2" s="33"/>
      <c r="E2" s="62"/>
    </row>
    <row r="3" spans="2:8" x14ac:dyDescent="0.2">
      <c r="B3" s="146" t="s">
        <v>319</v>
      </c>
      <c r="C3" s="33"/>
      <c r="D3" s="33"/>
      <c r="E3" s="564"/>
    </row>
    <row r="4" spans="2:8" x14ac:dyDescent="0.2">
      <c r="B4" s="121" t="s">
        <v>320</v>
      </c>
      <c r="C4" s="149" t="s">
        <v>321</v>
      </c>
      <c r="D4" s="150" t="s">
        <v>322</v>
      </c>
      <c r="E4" s="43" t="s">
        <v>323</v>
      </c>
    </row>
    <row r="5" spans="2:8" x14ac:dyDescent="0.2">
      <c r="B5" s="270" t="str">
        <f>inputPrYr!B17</f>
        <v>General</v>
      </c>
      <c r="C5" s="562" t="str">
        <f>CONCATENATE("Actual for ",E1-2,"")</f>
        <v>Actual for 2024</v>
      </c>
      <c r="D5" s="562" t="str">
        <f>CONCATENATE("Estimate for ",E1-1,"")</f>
        <v>Estimate for 2025</v>
      </c>
      <c r="E5" s="46" t="str">
        <f>CONCATENATE("Year for ",E1,"")</f>
        <v>Year for 2026</v>
      </c>
    </row>
    <row r="6" spans="2:8" x14ac:dyDescent="0.2">
      <c r="B6" s="571" t="s">
        <v>324</v>
      </c>
      <c r="C6" s="187">
        <v>1853172</v>
      </c>
      <c r="D6" s="153">
        <f>C103</f>
        <v>1435916</v>
      </c>
      <c r="E6" s="154">
        <f>D103</f>
        <v>1326482</v>
      </c>
    </row>
    <row r="7" spans="2:8" x14ac:dyDescent="0.2">
      <c r="B7" s="170" t="s">
        <v>325</v>
      </c>
      <c r="C7" s="117"/>
      <c r="D7" s="117"/>
      <c r="E7" s="47"/>
    </row>
    <row r="8" spans="2:8" x14ac:dyDescent="0.2">
      <c r="B8" s="571" t="s">
        <v>326</v>
      </c>
      <c r="C8" s="152">
        <v>1139559</v>
      </c>
      <c r="D8" s="153">
        <f>IF(inputPrYr!H16&gt;0,inputPrYr!G17,inputPrYr!E17)</f>
        <v>1298664</v>
      </c>
      <c r="E8" s="188" t="s">
        <v>179</v>
      </c>
    </row>
    <row r="9" spans="2:8" x14ac:dyDescent="0.2">
      <c r="B9" s="571" t="s">
        <v>327</v>
      </c>
      <c r="C9" s="152">
        <v>12477</v>
      </c>
      <c r="D9" s="152">
        <v>0</v>
      </c>
      <c r="E9" s="157">
        <v>0</v>
      </c>
    </row>
    <row r="10" spans="2:8" x14ac:dyDescent="0.2">
      <c r="B10" s="571" t="s">
        <v>328</v>
      </c>
      <c r="C10" s="152">
        <v>152127</v>
      </c>
      <c r="D10" s="152">
        <v>149000</v>
      </c>
      <c r="E10" s="154">
        <f>Mvalloc!D7</f>
        <v>148037</v>
      </c>
      <c r="H10" s="192">
        <f>D10-[1]General!E11</f>
        <v>20462</v>
      </c>
    </row>
    <row r="11" spans="2:8" x14ac:dyDescent="0.2">
      <c r="B11" s="571" t="s">
        <v>329</v>
      </c>
      <c r="C11" s="152">
        <v>2183</v>
      </c>
      <c r="D11" s="152">
        <v>2000</v>
      </c>
      <c r="E11" s="154">
        <f>Mvalloc!E7</f>
        <v>1965</v>
      </c>
      <c r="H11" s="192">
        <f>D11-[1]General!E12</f>
        <v>-140</v>
      </c>
    </row>
    <row r="12" spans="2:8" x14ac:dyDescent="0.2">
      <c r="B12" s="571" t="s">
        <v>330</v>
      </c>
      <c r="C12" s="152">
        <v>1096</v>
      </c>
      <c r="D12" s="152">
        <v>1057</v>
      </c>
      <c r="E12" s="154">
        <f>Mvalloc!F7</f>
        <v>885</v>
      </c>
      <c r="H12" s="192">
        <f>D12-[1]General!E13</f>
        <v>236</v>
      </c>
    </row>
    <row r="13" spans="2:8" x14ac:dyDescent="0.2">
      <c r="B13" s="571" t="s">
        <v>331</v>
      </c>
      <c r="C13" s="152">
        <f>7391+3048</f>
        <v>10439</v>
      </c>
      <c r="D13" s="152">
        <v>10000</v>
      </c>
      <c r="E13" s="154">
        <f>Mvalloc!G7</f>
        <v>9981</v>
      </c>
      <c r="H13" s="192">
        <f>D13-[1]General!E14</f>
        <v>1151</v>
      </c>
    </row>
    <row r="14" spans="2:8" x14ac:dyDescent="0.2">
      <c r="B14" s="571" t="s">
        <v>332</v>
      </c>
      <c r="C14" s="152">
        <v>0</v>
      </c>
      <c r="D14" s="152">
        <v>0</v>
      </c>
      <c r="E14" s="154">
        <f>Mvalloc!H7</f>
        <v>702</v>
      </c>
      <c r="H14" s="192">
        <f>D14-[1]General!E15</f>
        <v>-136</v>
      </c>
    </row>
    <row r="15" spans="2:8" x14ac:dyDescent="0.2">
      <c r="B15" s="571" t="s">
        <v>333</v>
      </c>
      <c r="C15" s="152">
        <v>0</v>
      </c>
      <c r="D15" s="152">
        <v>0</v>
      </c>
      <c r="E15" s="154">
        <f>inputOth!E16</f>
        <v>0</v>
      </c>
      <c r="H15" s="192">
        <f>D15-[1]General!E16</f>
        <v>0</v>
      </c>
    </row>
    <row r="16" spans="2:8" x14ac:dyDescent="0.2">
      <c r="B16" s="187" t="s">
        <v>334</v>
      </c>
      <c r="C16" s="152">
        <v>16409</v>
      </c>
      <c r="D16" s="152">
        <v>16000</v>
      </c>
      <c r="E16" s="72">
        <v>15980</v>
      </c>
      <c r="H16" s="192">
        <f>D16-[1]General!E17</f>
        <v>-3195</v>
      </c>
    </row>
    <row r="17" spans="2:8" x14ac:dyDescent="0.2">
      <c r="B17" s="187" t="s">
        <v>791</v>
      </c>
      <c r="C17" s="152">
        <v>100</v>
      </c>
      <c r="D17" s="152">
        <v>80</v>
      </c>
      <c r="E17" s="72">
        <v>80</v>
      </c>
      <c r="H17" s="192">
        <f>D17-[1]General!E18</f>
        <v>-20</v>
      </c>
    </row>
    <row r="18" spans="2:8" x14ac:dyDescent="0.2">
      <c r="B18" s="187" t="s">
        <v>792</v>
      </c>
      <c r="C18" s="152">
        <v>5148</v>
      </c>
      <c r="D18" s="152">
        <v>2925</v>
      </c>
      <c r="E18" s="72">
        <v>830</v>
      </c>
      <c r="H18" s="192">
        <f>D18-[1]General!E19</f>
        <v>2065</v>
      </c>
    </row>
    <row r="19" spans="2:8" x14ac:dyDescent="0.2">
      <c r="B19" s="580" t="s">
        <v>793</v>
      </c>
      <c r="C19" s="152">
        <v>14997</v>
      </c>
      <c r="D19" s="152">
        <v>4753</v>
      </c>
      <c r="E19" s="72">
        <v>0</v>
      </c>
      <c r="H19" s="192">
        <f>D19-[1]General!E20</f>
        <v>4753</v>
      </c>
    </row>
    <row r="20" spans="2:8" x14ac:dyDescent="0.2">
      <c r="B20" s="581" t="s">
        <v>794</v>
      </c>
      <c r="C20" s="152">
        <v>1393483</v>
      </c>
      <c r="D20" s="152">
        <v>1389000</v>
      </c>
      <c r="E20" s="72">
        <v>1350000</v>
      </c>
      <c r="H20" s="192">
        <f>D20-[1]General!E21</f>
        <v>89000</v>
      </c>
    </row>
    <row r="21" spans="2:8" x14ac:dyDescent="0.2">
      <c r="B21" s="581" t="s">
        <v>795</v>
      </c>
      <c r="C21" s="152">
        <v>613391</v>
      </c>
      <c r="D21" s="152">
        <v>605000</v>
      </c>
      <c r="E21" s="72">
        <v>605000</v>
      </c>
      <c r="H21" s="192">
        <f>D21-[1]General!E22</f>
        <v>5000</v>
      </c>
    </row>
    <row r="22" spans="2:8" x14ac:dyDescent="0.2">
      <c r="B22" s="581" t="s">
        <v>796</v>
      </c>
      <c r="C22" s="152">
        <v>367772</v>
      </c>
      <c r="D22" s="152">
        <v>330000</v>
      </c>
      <c r="E22" s="72">
        <v>320000</v>
      </c>
      <c r="H22" s="192">
        <f>D22-[1]General!E23</f>
        <v>50000</v>
      </c>
    </row>
    <row r="23" spans="2:8" x14ac:dyDescent="0.2">
      <c r="B23" s="187" t="s">
        <v>797</v>
      </c>
      <c r="C23" s="152">
        <v>589385</v>
      </c>
      <c r="D23" s="152">
        <v>603000</v>
      </c>
      <c r="E23" s="72">
        <v>603000</v>
      </c>
      <c r="H23" s="192">
        <f>D23-[1]General!E24</f>
        <v>-7000</v>
      </c>
    </row>
    <row r="24" spans="2:8" x14ac:dyDescent="0.2">
      <c r="B24" s="187" t="s">
        <v>798</v>
      </c>
      <c r="C24" s="152">
        <v>73721</v>
      </c>
      <c r="D24" s="152">
        <v>73700</v>
      </c>
      <c r="E24" s="72">
        <v>73700</v>
      </c>
      <c r="H24" s="192">
        <f>D24-[1]General!E25</f>
        <v>100</v>
      </c>
    </row>
    <row r="25" spans="2:8" x14ac:dyDescent="0.2">
      <c r="B25" s="187" t="s">
        <v>799</v>
      </c>
      <c r="C25" s="152">
        <v>13500</v>
      </c>
      <c r="D25" s="152">
        <v>17250</v>
      </c>
      <c r="E25" s="72">
        <v>0</v>
      </c>
      <c r="H25" s="192">
        <f>D25-[1]General!E26</f>
        <v>17250</v>
      </c>
    </row>
    <row r="26" spans="2:8" x14ac:dyDescent="0.2">
      <c r="B26" s="187" t="s">
        <v>897</v>
      </c>
      <c r="C26" s="152">
        <v>0</v>
      </c>
      <c r="D26" s="152">
        <v>2234</v>
      </c>
      <c r="E26" s="72">
        <v>0</v>
      </c>
      <c r="H26" s="192">
        <f>D26-[1]General!E27</f>
        <v>2234</v>
      </c>
    </row>
    <row r="27" spans="2:8" x14ac:dyDescent="0.2">
      <c r="B27" s="187" t="s">
        <v>800</v>
      </c>
      <c r="C27" s="152">
        <v>1879</v>
      </c>
      <c r="D27" s="152">
        <v>674</v>
      </c>
      <c r="E27" s="72">
        <v>0</v>
      </c>
      <c r="H27" s="192">
        <f>D27-[1]General!E28</f>
        <v>674</v>
      </c>
    </row>
    <row r="28" spans="2:8" x14ac:dyDescent="0.2">
      <c r="B28" s="187" t="s">
        <v>801</v>
      </c>
      <c r="C28" s="152">
        <v>2500</v>
      </c>
      <c r="D28" s="152">
        <f>9375</f>
        <v>9375</v>
      </c>
      <c r="E28" s="72">
        <v>0</v>
      </c>
      <c r="H28" s="192"/>
    </row>
    <row r="29" spans="2:8" x14ac:dyDescent="0.2">
      <c r="B29" s="187" t="s">
        <v>896</v>
      </c>
      <c r="C29" s="152">
        <v>1125</v>
      </c>
      <c r="D29" s="152">
        <v>15000</v>
      </c>
      <c r="E29" s="72">
        <v>0</v>
      </c>
      <c r="H29" s="192"/>
    </row>
    <row r="30" spans="2:8" x14ac:dyDescent="0.2">
      <c r="B30" s="187" t="s">
        <v>802</v>
      </c>
      <c r="C30" s="152">
        <v>60860</v>
      </c>
      <c r="D30" s="152">
        <v>63600</v>
      </c>
      <c r="E30" s="72">
        <v>63150</v>
      </c>
      <c r="H30" s="192">
        <f>D30-[1]General!E30</f>
        <v>13825</v>
      </c>
    </row>
    <row r="31" spans="2:8" x14ac:dyDescent="0.2">
      <c r="B31" s="187" t="s">
        <v>803</v>
      </c>
      <c r="C31" s="152">
        <v>1382</v>
      </c>
      <c r="D31" s="152">
        <v>1350</v>
      </c>
      <c r="E31" s="72">
        <v>1350</v>
      </c>
      <c r="H31" s="192">
        <f>D31-[1]General!E31</f>
        <v>0</v>
      </c>
    </row>
    <row r="32" spans="2:8" x14ac:dyDescent="0.2">
      <c r="B32" s="187" t="s">
        <v>804</v>
      </c>
      <c r="C32" s="152">
        <v>5850</v>
      </c>
      <c r="D32" s="152">
        <v>5500</v>
      </c>
      <c r="E32" s="72">
        <v>5500</v>
      </c>
      <c r="H32" s="192">
        <f>D32-[1]General!E32</f>
        <v>-500</v>
      </c>
    </row>
    <row r="33" spans="2:8" x14ac:dyDescent="0.2">
      <c r="B33" s="187" t="s">
        <v>805</v>
      </c>
      <c r="C33" s="152">
        <v>405565</v>
      </c>
      <c r="D33" s="152">
        <v>400000</v>
      </c>
      <c r="E33" s="72">
        <v>400000</v>
      </c>
      <c r="H33" s="192">
        <f>D33-[1]General!E33</f>
        <v>50000</v>
      </c>
    </row>
    <row r="34" spans="2:8" x14ac:dyDescent="0.2">
      <c r="B34" s="187" t="s">
        <v>806</v>
      </c>
      <c r="C34" s="152">
        <v>80425</v>
      </c>
      <c r="D34" s="152">
        <v>84214</v>
      </c>
      <c r="E34" s="72">
        <v>104046</v>
      </c>
      <c r="H34" s="192">
        <f>D34-[1]General!E34</f>
        <v>0</v>
      </c>
    </row>
    <row r="35" spans="2:8" x14ac:dyDescent="0.2">
      <c r="B35" s="187" t="s">
        <v>807</v>
      </c>
      <c r="C35" s="152">
        <v>120000</v>
      </c>
      <c r="D35" s="152">
        <v>120000</v>
      </c>
      <c r="E35" s="72">
        <v>120000</v>
      </c>
      <c r="H35" s="192">
        <f>D35-[1]General!E35</f>
        <v>0</v>
      </c>
    </row>
    <row r="36" spans="2:8" x14ac:dyDescent="0.2">
      <c r="B36" s="187" t="s">
        <v>808</v>
      </c>
      <c r="C36" s="152">
        <v>64320</v>
      </c>
      <c r="D36" s="152">
        <v>30000</v>
      </c>
      <c r="E36" s="72">
        <v>30000</v>
      </c>
      <c r="H36" s="192">
        <f>D36-[1]General!E36</f>
        <v>-28000</v>
      </c>
    </row>
    <row r="37" spans="2:8" x14ac:dyDescent="0.2">
      <c r="B37" s="187" t="s">
        <v>809</v>
      </c>
      <c r="C37" s="152">
        <v>57112</v>
      </c>
      <c r="D37" s="152">
        <v>49700</v>
      </c>
      <c r="E37" s="72">
        <v>48500</v>
      </c>
      <c r="H37" s="192">
        <f>D37-[1]General!E37</f>
        <v>2500</v>
      </c>
    </row>
    <row r="38" spans="2:8" x14ac:dyDescent="0.2">
      <c r="B38" s="187" t="s">
        <v>810</v>
      </c>
      <c r="C38" s="152">
        <v>88291</v>
      </c>
      <c r="D38" s="152">
        <v>79600</v>
      </c>
      <c r="E38" s="72">
        <v>77600</v>
      </c>
      <c r="H38" s="192">
        <f>D38-[1]General!E38</f>
        <v>8000</v>
      </c>
    </row>
    <row r="39" spans="2:8" x14ac:dyDescent="0.2">
      <c r="B39" s="187" t="s">
        <v>811</v>
      </c>
      <c r="C39" s="152">
        <v>6349</v>
      </c>
      <c r="D39" s="152">
        <v>4475</v>
      </c>
      <c r="E39" s="72">
        <v>4575</v>
      </c>
      <c r="H39" s="192">
        <f>D39-[1]General!E39</f>
        <v>-2125</v>
      </c>
    </row>
    <row r="40" spans="2:8" x14ac:dyDescent="0.2">
      <c r="B40" s="187" t="s">
        <v>812</v>
      </c>
      <c r="C40" s="152">
        <v>20282</v>
      </c>
      <c r="D40" s="152">
        <v>21800</v>
      </c>
      <c r="E40" s="72">
        <v>21800</v>
      </c>
      <c r="H40" s="192">
        <f>D40-[1]General!E40</f>
        <v>2900</v>
      </c>
    </row>
    <row r="41" spans="2:8" x14ac:dyDescent="0.2">
      <c r="B41" s="187" t="s">
        <v>813</v>
      </c>
      <c r="C41" s="152">
        <v>5789</v>
      </c>
      <c r="D41" s="152">
        <v>4000</v>
      </c>
      <c r="E41" s="72">
        <v>4500</v>
      </c>
      <c r="H41" s="192">
        <f>D41-[1]General!E41</f>
        <v>-1500</v>
      </c>
    </row>
    <row r="42" spans="2:8" x14ac:dyDescent="0.2">
      <c r="B42" s="187" t="s">
        <v>814</v>
      </c>
      <c r="C42" s="152">
        <v>15278</v>
      </c>
      <c r="D42" s="152">
        <v>17050</v>
      </c>
      <c r="E42" s="72">
        <v>16800</v>
      </c>
      <c r="H42" s="192">
        <f>D42-[1]General!E42</f>
        <v>-1150</v>
      </c>
    </row>
    <row r="43" spans="2:8" x14ac:dyDescent="0.2">
      <c r="B43" s="187" t="s">
        <v>815</v>
      </c>
      <c r="C43" s="152">
        <v>21474</v>
      </c>
      <c r="D43" s="152">
        <v>3756</v>
      </c>
      <c r="E43" s="72">
        <v>0</v>
      </c>
      <c r="H43" s="192">
        <f>D43-[1]General!E43</f>
        <v>-1244</v>
      </c>
    </row>
    <row r="44" spans="2:8" x14ac:dyDescent="0.2">
      <c r="B44" s="187"/>
      <c r="C44" s="152"/>
      <c r="D44" s="152"/>
      <c r="E44" s="72"/>
    </row>
    <row r="45" spans="2:8" x14ac:dyDescent="0.2">
      <c r="B45" s="187" t="s">
        <v>335</v>
      </c>
      <c r="C45" s="152"/>
      <c r="D45" s="152"/>
      <c r="E45" s="72"/>
      <c r="H45" s="192"/>
    </row>
    <row r="46" spans="2:8" x14ac:dyDescent="0.2">
      <c r="B46" s="171" t="s">
        <v>336</v>
      </c>
      <c r="C46" s="152">
        <v>110170</v>
      </c>
      <c r="D46" s="152">
        <v>75000</v>
      </c>
      <c r="E46" s="72">
        <v>65000</v>
      </c>
      <c r="H46" s="192">
        <f>D46-[1]General!$E$45</f>
        <v>45000</v>
      </c>
    </row>
    <row r="47" spans="2:8" x14ac:dyDescent="0.2">
      <c r="B47" s="166" t="s">
        <v>337</v>
      </c>
      <c r="C47" s="152"/>
      <c r="D47" s="152"/>
      <c r="E47" s="337"/>
    </row>
    <row r="48" spans="2:8" x14ac:dyDescent="0.2">
      <c r="B48" s="117" t="s">
        <v>338</v>
      </c>
      <c r="C48" s="152">
        <v>311</v>
      </c>
      <c r="D48" s="152">
        <v>142</v>
      </c>
      <c r="E48" s="72">
        <v>300</v>
      </c>
      <c r="H48" s="192">
        <f>SUM(H10:H47)</f>
        <v>270140</v>
      </c>
    </row>
    <row r="49" spans="2:6" x14ac:dyDescent="0.2">
      <c r="B49" s="571" t="s">
        <v>339</v>
      </c>
      <c r="C49" s="160" t="str">
        <f>IF(C50*0.1&lt;C48,"Exceed 10% Rule","")</f>
        <v/>
      </c>
      <c r="D49" s="160" t="str">
        <f>IF(D50*0.1&lt;D48,"Exceed 10% Rule","")</f>
        <v/>
      </c>
      <c r="E49" s="167" t="str">
        <f>IF(E50*0.1+E109&lt;E48,"Exceed 10% Rule","")</f>
        <v/>
      </c>
    </row>
    <row r="50" spans="2:6" x14ac:dyDescent="0.2">
      <c r="B50" s="162" t="s">
        <v>340</v>
      </c>
      <c r="C50" s="164">
        <f>SUM(C8:C48)</f>
        <v>5474749</v>
      </c>
      <c r="D50" s="164">
        <f>SUM(D8:D48)</f>
        <v>5489899</v>
      </c>
      <c r="E50" s="165">
        <f>SUM(E8:E48)</f>
        <v>4093281</v>
      </c>
    </row>
    <row r="51" spans="2:6" x14ac:dyDescent="0.2">
      <c r="B51" s="162" t="s">
        <v>341</v>
      </c>
      <c r="C51" s="164">
        <f>C6+C50</f>
        <v>7327921</v>
      </c>
      <c r="D51" s="164">
        <f>D6+D50</f>
        <v>6925815</v>
      </c>
      <c r="E51" s="165">
        <f>E6+E50</f>
        <v>5419763</v>
      </c>
    </row>
    <row r="52" spans="2:6" x14ac:dyDescent="0.2">
      <c r="B52" s="33"/>
      <c r="C52" s="33"/>
      <c r="D52" s="33"/>
      <c r="E52" s="33"/>
    </row>
    <row r="53" spans="2:6" x14ac:dyDescent="0.2">
      <c r="B53" s="564" t="s">
        <v>280</v>
      </c>
      <c r="C53" s="121">
        <f>IF(inputPrYr!D19&gt;0,7,6)</f>
        <v>7</v>
      </c>
      <c r="D53" s="559"/>
      <c r="E53" s="559"/>
    </row>
    <row r="54" spans="2:6" x14ac:dyDescent="0.2">
      <c r="B54" s="559"/>
      <c r="C54" s="559"/>
      <c r="D54" s="559"/>
      <c r="E54" s="559"/>
    </row>
    <row r="55" spans="2:6" x14ac:dyDescent="0.2">
      <c r="B55" s="51" t="str">
        <f>inputPrYr!D3</f>
        <v>City of Concordia</v>
      </c>
      <c r="C55" s="33"/>
      <c r="D55" s="33"/>
      <c r="E55" s="62"/>
    </row>
    <row r="56" spans="2:6" x14ac:dyDescent="0.2">
      <c r="B56" s="33"/>
      <c r="C56" s="33"/>
      <c r="D56" s="33"/>
      <c r="E56" s="564"/>
    </row>
    <row r="57" spans="2:6" x14ac:dyDescent="0.2">
      <c r="B57" s="189" t="s">
        <v>342</v>
      </c>
      <c r="C57" s="190"/>
      <c r="D57" s="190"/>
      <c r="E57" s="190"/>
    </row>
    <row r="58" spans="2:6" x14ac:dyDescent="0.2">
      <c r="B58" s="33" t="s">
        <v>320</v>
      </c>
      <c r="C58" s="149" t="str">
        <f t="shared" ref="C58:E59" si="0">C4</f>
        <v xml:space="preserve">Prior Year </v>
      </c>
      <c r="D58" s="150" t="str">
        <f t="shared" si="0"/>
        <v xml:space="preserve">Current Year </v>
      </c>
      <c r="E58" s="43" t="str">
        <f t="shared" si="0"/>
        <v xml:space="preserve">Proposed Budget </v>
      </c>
    </row>
    <row r="59" spans="2:6" x14ac:dyDescent="0.2">
      <c r="B59" s="51" t="str">
        <f>inputPrYr!B17</f>
        <v>General</v>
      </c>
      <c r="C59" s="562" t="str">
        <f t="shared" si="0"/>
        <v>Actual for 2024</v>
      </c>
      <c r="D59" s="562" t="str">
        <f t="shared" si="0"/>
        <v>Estimate for 2025</v>
      </c>
      <c r="E59" s="46" t="str">
        <f t="shared" si="0"/>
        <v>Year for 2026</v>
      </c>
    </row>
    <row r="60" spans="2:6" x14ac:dyDescent="0.2">
      <c r="B60" s="191" t="s">
        <v>341</v>
      </c>
      <c r="C60" s="153">
        <f>C51</f>
        <v>7327921</v>
      </c>
      <c r="D60" s="153">
        <f>D51</f>
        <v>6925815</v>
      </c>
      <c r="E60" s="154">
        <f>E51</f>
        <v>5419763</v>
      </c>
    </row>
    <row r="61" spans="2:6" x14ac:dyDescent="0.2">
      <c r="B61" s="170" t="s">
        <v>343</v>
      </c>
      <c r="C61" s="117"/>
      <c r="D61" s="117"/>
      <c r="E61" s="47"/>
    </row>
    <row r="62" spans="2:6" x14ac:dyDescent="0.2">
      <c r="B62" s="571" t="str">
        <f>'General Detail'!A7</f>
        <v>Nondepartmental</v>
      </c>
      <c r="C62" s="168">
        <f>'General Detail'!B15</f>
        <v>310313</v>
      </c>
      <c r="D62" s="168">
        <f>'General Detail'!C15</f>
        <v>371033</v>
      </c>
      <c r="E62" s="82">
        <f>'General Detail'!D15</f>
        <v>376635</v>
      </c>
    </row>
    <row r="63" spans="2:6" x14ac:dyDescent="0.2">
      <c r="B63" s="571" t="str">
        <f>'General Detail'!A16</f>
        <v>Finance &amp; Administration</v>
      </c>
      <c r="C63" s="168">
        <f>'General Detail'!B22</f>
        <v>369221</v>
      </c>
      <c r="D63" s="168">
        <f>'General Detail'!C22</f>
        <v>388013</v>
      </c>
      <c r="E63" s="82">
        <f>'General Detail'!D22</f>
        <v>410895</v>
      </c>
      <c r="F63" s="192"/>
    </row>
    <row r="64" spans="2:6" x14ac:dyDescent="0.2">
      <c r="B64" s="571" t="str">
        <f>'General Detail'!A23</f>
        <v>Municipal Court</v>
      </c>
      <c r="C64" s="168">
        <f>'General Detail'!B29</f>
        <v>58990</v>
      </c>
      <c r="D64" s="168">
        <f>'General Detail'!C29</f>
        <v>63130</v>
      </c>
      <c r="E64" s="82">
        <f>'General Detail'!D29</f>
        <v>71638</v>
      </c>
      <c r="F64" s="192"/>
    </row>
    <row r="65" spans="2:5" x14ac:dyDescent="0.2">
      <c r="B65" s="571" t="str">
        <f>'General Detail'!A30</f>
        <v>Law Enforcement</v>
      </c>
      <c r="C65" s="168">
        <f>'General Detail'!B35</f>
        <v>869303</v>
      </c>
      <c r="D65" s="168">
        <f>'General Detail'!C35</f>
        <v>850965</v>
      </c>
      <c r="E65" s="82">
        <f>'General Detail'!D35</f>
        <v>971065</v>
      </c>
    </row>
    <row r="66" spans="2:5" x14ac:dyDescent="0.2">
      <c r="B66" s="571" t="str">
        <f>'General Detail'!A36</f>
        <v>Police Communications</v>
      </c>
      <c r="C66" s="168">
        <f>'General Detail'!B42</f>
        <v>359535</v>
      </c>
      <c r="D66" s="168">
        <f>'General Detail'!C42</f>
        <v>357483</v>
      </c>
      <c r="E66" s="82">
        <f>'General Detail'!D42</f>
        <v>414745</v>
      </c>
    </row>
    <row r="67" spans="2:5" x14ac:dyDescent="0.2">
      <c r="B67" s="571" t="str">
        <f>'General Detail'!A43</f>
        <v>Fire Protection</v>
      </c>
      <c r="C67" s="168">
        <f>'General Detail'!B49</f>
        <v>553071</v>
      </c>
      <c r="D67" s="168">
        <f>'General Detail'!C49</f>
        <v>561803</v>
      </c>
      <c r="E67" s="82">
        <f>'General Detail'!D49</f>
        <v>623475</v>
      </c>
    </row>
    <row r="68" spans="2:5" x14ac:dyDescent="0.2">
      <c r="B68" s="571" t="str">
        <f>'General Detail'!A50</f>
        <v>Ambulance Service</v>
      </c>
      <c r="C68" s="168">
        <f>'General Detail'!B56</f>
        <v>564179</v>
      </c>
      <c r="D68" s="168">
        <f>'General Detail'!C56</f>
        <v>572424</v>
      </c>
      <c r="E68" s="82">
        <f>'General Detail'!D56</f>
        <v>662590</v>
      </c>
    </row>
    <row r="69" spans="2:5" x14ac:dyDescent="0.2">
      <c r="B69" s="571" t="str">
        <f>'General Detail'!A57</f>
        <v>Animal Control</v>
      </c>
      <c r="C69" s="168">
        <f>'General Detail'!B63</f>
        <v>70395</v>
      </c>
      <c r="D69" s="168">
        <f>'General Detail'!C63</f>
        <v>79836</v>
      </c>
      <c r="E69" s="82">
        <f>'General Detail'!D63</f>
        <v>97721</v>
      </c>
    </row>
    <row r="70" spans="2:5" x14ac:dyDescent="0.2">
      <c r="B70" s="571" t="str">
        <f>'General Detail'!A75</f>
        <v>Planning &amp; Zoning</v>
      </c>
      <c r="C70" s="168">
        <f>'General Detail'!B81</f>
        <v>121859</v>
      </c>
      <c r="D70" s="168">
        <f>'General Detail'!C81</f>
        <v>154725</v>
      </c>
      <c r="E70" s="82">
        <f>'General Detail'!D81</f>
        <v>129661</v>
      </c>
    </row>
    <row r="71" spans="2:5" x14ac:dyDescent="0.2">
      <c r="B71" s="571" t="str">
        <f>'General Detail'!A82</f>
        <v>Public Works</v>
      </c>
      <c r="C71" s="168">
        <f>'General Detail'!B88</f>
        <v>511244</v>
      </c>
      <c r="D71" s="168">
        <f>'General Detail'!C88</f>
        <v>552870</v>
      </c>
      <c r="E71" s="82">
        <f>'General Detail'!D88</f>
        <v>637420</v>
      </c>
    </row>
    <row r="72" spans="2:5" x14ac:dyDescent="0.2">
      <c r="B72" s="571" t="str">
        <f>'General Detail'!A89</f>
        <v>Airport Operations</v>
      </c>
      <c r="C72" s="168">
        <f>'General Detail'!B95</f>
        <v>114574</v>
      </c>
      <c r="D72" s="168">
        <f>'General Detail'!C95</f>
        <v>100880</v>
      </c>
      <c r="E72" s="82">
        <f>'General Detail'!D95</f>
        <v>140500</v>
      </c>
    </row>
    <row r="73" spans="2:5" x14ac:dyDescent="0.2">
      <c r="B73" s="571" t="str">
        <f>'General Detail'!A96</f>
        <v>Park Operations</v>
      </c>
      <c r="C73" s="168">
        <f>'General Detail'!B101</f>
        <v>370001</v>
      </c>
      <c r="D73" s="168">
        <f>'General Detail'!C101</f>
        <v>389755</v>
      </c>
      <c r="E73" s="82">
        <f>'General Detail'!D101</f>
        <v>431660</v>
      </c>
    </row>
    <row r="74" spans="2:5" x14ac:dyDescent="0.2">
      <c r="B74" s="571" t="str">
        <f>'General Detail'!A102</f>
        <v>Cemetery Operations</v>
      </c>
      <c r="C74" s="168">
        <f>'General Detail'!B108</f>
        <v>79929</v>
      </c>
      <c r="D74" s="168">
        <f>'General Detail'!C108</f>
        <v>85738</v>
      </c>
      <c r="E74" s="82">
        <f>'General Detail'!D108</f>
        <v>106987</v>
      </c>
    </row>
    <row r="75" spans="2:5" x14ac:dyDescent="0.2">
      <c r="B75" s="571" t="str">
        <f>'General Detail'!A109</f>
        <v>Swimming Pool Operations</v>
      </c>
      <c r="C75" s="168">
        <f>'General Detail'!B115</f>
        <v>166908</v>
      </c>
      <c r="D75" s="168">
        <f>'General Detail'!C115</f>
        <v>167285</v>
      </c>
      <c r="E75" s="82">
        <f>'General Detail'!D115</f>
        <v>175450</v>
      </c>
    </row>
    <row r="76" spans="2:5" x14ac:dyDescent="0.2">
      <c r="B76" s="571" t="str">
        <f>'General Detail'!A116</f>
        <v>Recreation Programs</v>
      </c>
      <c r="C76" s="168">
        <f>'General Detail'!B122</f>
        <v>95545</v>
      </c>
      <c r="D76" s="168">
        <f>'General Detail'!C122</f>
        <v>102524</v>
      </c>
      <c r="E76" s="82">
        <f>'General Detail'!D122</f>
        <v>112292</v>
      </c>
    </row>
    <row r="77" spans="2:5" x14ac:dyDescent="0.2">
      <c r="B77" s="571" t="str">
        <f>'General Detail'!A123</f>
        <v>Sports Complex</v>
      </c>
      <c r="C77" s="255">
        <f>'General Detail'!B129</f>
        <v>133273</v>
      </c>
      <c r="D77" s="255">
        <f>'General Detail'!C129</f>
        <v>143833</v>
      </c>
      <c r="E77" s="249">
        <f>'General Detail'!D129</f>
        <v>157447</v>
      </c>
    </row>
    <row r="78" spans="2:5" x14ac:dyDescent="0.2">
      <c r="B78" s="571" t="str">
        <f>'General Detail'!A130</f>
        <v>Broadway Plaza</v>
      </c>
      <c r="C78" s="255">
        <f>'General Detail'!B136</f>
        <v>52032</v>
      </c>
      <c r="D78" s="255">
        <f>'General Detail'!C136</f>
        <v>45036</v>
      </c>
      <c r="E78" s="249">
        <f>'General Detail'!D136</f>
        <v>59700</v>
      </c>
    </row>
    <row r="79" spans="2:5" x14ac:dyDescent="0.2">
      <c r="B79" s="264" t="s">
        <v>344</v>
      </c>
      <c r="C79" s="267">
        <f>SUM(C62:C78)</f>
        <v>4800372</v>
      </c>
      <c r="D79" s="267">
        <f>SUM(D62:D78)</f>
        <v>4987333</v>
      </c>
      <c r="E79" s="182">
        <f>SUM(E62:E78)</f>
        <v>5579881</v>
      </c>
    </row>
    <row r="80" spans="2:5" x14ac:dyDescent="0.2">
      <c r="B80" s="171"/>
      <c r="C80" s="152"/>
      <c r="D80" s="152"/>
      <c r="E80" s="157"/>
    </row>
    <row r="81" spans="2:11" x14ac:dyDescent="0.2">
      <c r="B81" s="171" t="s">
        <v>833</v>
      </c>
      <c r="C81" s="152">
        <v>56953</v>
      </c>
      <c r="D81" s="152"/>
      <c r="E81" s="157"/>
    </row>
    <row r="82" spans="2:11" x14ac:dyDescent="0.2">
      <c r="B82" s="171" t="s">
        <v>834</v>
      </c>
      <c r="C82" s="152">
        <v>207680</v>
      </c>
      <c r="D82" s="152"/>
      <c r="E82" s="157"/>
      <c r="G82" s="665" t="str">
        <f>CONCATENATE("Desired Carryover Into ",E1+1,"")</f>
        <v>Desired Carryover Into 2027</v>
      </c>
      <c r="H82" s="666"/>
      <c r="I82" s="666"/>
      <c r="J82" s="667"/>
    </row>
    <row r="83" spans="2:11" x14ac:dyDescent="0.2">
      <c r="B83" s="156"/>
      <c r="C83" s="152"/>
      <c r="D83" s="152"/>
      <c r="E83" s="157"/>
      <c r="G83" s="309"/>
      <c r="H83" s="305"/>
      <c r="I83" s="305"/>
      <c r="J83" s="304"/>
    </row>
    <row r="84" spans="2:11" x14ac:dyDescent="0.2">
      <c r="B84" s="156"/>
      <c r="C84" s="152"/>
      <c r="D84" s="152"/>
      <c r="E84" s="157"/>
      <c r="G84" s="293" t="s">
        <v>345</v>
      </c>
      <c r="H84" s="300"/>
      <c r="I84" s="300"/>
      <c r="J84" s="292">
        <v>0</v>
      </c>
    </row>
    <row r="85" spans="2:11" x14ac:dyDescent="0.2">
      <c r="B85" s="156"/>
      <c r="C85" s="152"/>
      <c r="D85" s="152"/>
      <c r="E85" s="157"/>
      <c r="G85" s="291" t="s">
        <v>346</v>
      </c>
      <c r="H85" s="290"/>
      <c r="I85" s="289"/>
      <c r="J85" s="288" t="str">
        <f>IF(J84=0,"",ROUND((J84+E109-G97)/#REF!*1000,3)-General!G102)</f>
        <v/>
      </c>
    </row>
    <row r="86" spans="2:11" x14ac:dyDescent="0.2">
      <c r="B86" s="156"/>
      <c r="C86" s="152"/>
      <c r="D86" s="152"/>
      <c r="E86" s="157"/>
      <c r="G86" s="400" t="str">
        <f>CONCATENATE("",E1," Total Expenditures Must Be:")</f>
        <v>2026 Total Expenditures Must Be:</v>
      </c>
      <c r="H86" s="401"/>
      <c r="I86" s="402"/>
      <c r="J86" s="287">
        <f>IF(J84&gt;0,IF(E106&lt;E51,IF(J84=G97,E106,((J84-G97)*(1-D108))+E51),E106+(J84-G97)),0)</f>
        <v>0</v>
      </c>
    </row>
    <row r="87" spans="2:11" x14ac:dyDescent="0.2">
      <c r="B87" s="156"/>
      <c r="C87" s="152"/>
      <c r="D87" s="152"/>
      <c r="E87" s="157"/>
      <c r="G87" s="403" t="s">
        <v>347</v>
      </c>
      <c r="H87" s="404"/>
      <c r="I87" s="405"/>
      <c r="J87" s="336">
        <f>IF(J84&gt;0,J86-E106,0)</f>
        <v>0</v>
      </c>
    </row>
    <row r="88" spans="2:11" x14ac:dyDescent="0.2">
      <c r="B88" s="156"/>
      <c r="C88" s="152"/>
      <c r="D88" s="152"/>
      <c r="E88" s="157"/>
    </row>
    <row r="89" spans="2:11" x14ac:dyDescent="0.2">
      <c r="B89" s="156"/>
      <c r="C89" s="152"/>
      <c r="D89" s="152"/>
      <c r="E89" s="157"/>
      <c r="G89" s="665" t="str">
        <f>CONCATENATE("Projected Carryover Into ",E1+1,"")</f>
        <v>Projected Carryover Into 2027</v>
      </c>
      <c r="H89" s="668"/>
      <c r="I89" s="668"/>
      <c r="J89" s="669"/>
    </row>
    <row r="90" spans="2:11" x14ac:dyDescent="0.2">
      <c r="B90" s="156"/>
      <c r="C90" s="152"/>
      <c r="D90" s="152"/>
      <c r="E90" s="157"/>
      <c r="G90" s="309"/>
      <c r="H90" s="305"/>
      <c r="I90" s="305"/>
      <c r="J90" s="304"/>
    </row>
    <row r="91" spans="2:11" x14ac:dyDescent="0.2">
      <c r="B91" s="156"/>
      <c r="C91" s="152"/>
      <c r="D91" s="152"/>
      <c r="E91" s="157"/>
      <c r="G91" s="303">
        <f>D103</f>
        <v>1326482</v>
      </c>
      <c r="H91" s="302" t="str">
        <f>CONCATENATE("",E1-1," Ending Cash Balance (est.)")</f>
        <v>2025 Ending Cash Balance (est.)</v>
      </c>
      <c r="I91" s="301"/>
      <c r="J91" s="304"/>
    </row>
    <row r="92" spans="2:11" x14ac:dyDescent="0.2">
      <c r="B92" s="156"/>
      <c r="C92" s="152"/>
      <c r="D92" s="152"/>
      <c r="E92" s="157"/>
      <c r="G92" s="303">
        <f>E50</f>
        <v>4093281</v>
      </c>
      <c r="H92" s="300" t="str">
        <f>CONCATENATE("",E1," Non-AV Receipts (est.)")</f>
        <v>2026 Non-AV Receipts (est.)</v>
      </c>
      <c r="I92" s="301"/>
      <c r="J92" s="304"/>
    </row>
    <row r="93" spans="2:11" x14ac:dyDescent="0.2">
      <c r="B93" s="171" t="s">
        <v>835</v>
      </c>
      <c r="C93" s="152"/>
      <c r="D93" s="152"/>
      <c r="E93" s="157">
        <f>286750+99900-2000-18970-7505-12940</f>
        <v>345235</v>
      </c>
      <c r="G93" s="299">
        <f>IF(E108&gt;0,E107,E109)</f>
        <v>1342353</v>
      </c>
      <c r="H93" s="300" t="str">
        <f>CONCATENATE("",E1," Ad Valorem Tax (est.)")</f>
        <v>2026 Ad Valorem Tax (est.)</v>
      </c>
      <c r="I93" s="301"/>
      <c r="J93" s="304"/>
      <c r="K93" s="406" t="str">
        <f>IF(G93=E109,"","Note: Does not include Delinquent Taxes")</f>
        <v>Note: Does not include Delinquent Taxes</v>
      </c>
    </row>
    <row r="94" spans="2:11" x14ac:dyDescent="0.2">
      <c r="B94" s="156"/>
      <c r="C94" s="152"/>
      <c r="D94" s="152"/>
      <c r="E94" s="157"/>
      <c r="G94" s="303">
        <f>SUM(G91:G93)</f>
        <v>6762116</v>
      </c>
      <c r="H94" s="300" t="str">
        <f>CONCATENATE("Total ",E1," Resources Available")</f>
        <v>Total 2026 Resources Available</v>
      </c>
      <c r="I94" s="301"/>
      <c r="J94" s="304"/>
    </row>
    <row r="95" spans="2:11" x14ac:dyDescent="0.2">
      <c r="B95" s="156" t="s">
        <v>836</v>
      </c>
      <c r="C95" s="152">
        <v>450000</v>
      </c>
      <c r="D95" s="152">
        <v>300000</v>
      </c>
      <c r="E95" s="72">
        <v>463000</v>
      </c>
      <c r="G95" s="298"/>
      <c r="H95" s="300"/>
      <c r="I95" s="300"/>
      <c r="J95" s="304"/>
    </row>
    <row r="96" spans="2:11" x14ac:dyDescent="0.2">
      <c r="B96" s="156" t="s">
        <v>837</v>
      </c>
      <c r="C96" s="152">
        <v>5000</v>
      </c>
      <c r="D96" s="152">
        <v>5000</v>
      </c>
      <c r="E96" s="72">
        <v>5000</v>
      </c>
      <c r="G96" s="299">
        <f>ROUND(C102*0.05+C102,0)</f>
        <v>6186605</v>
      </c>
      <c r="H96" s="300" t="str">
        <f>CONCATENATE("Less ",E1-2," Expenditures + 5%")</f>
        <v>Less 2024 Expenditures + 5%</v>
      </c>
      <c r="I96" s="301"/>
      <c r="J96" s="304"/>
    </row>
    <row r="97" spans="2:10" x14ac:dyDescent="0.2">
      <c r="B97" s="156" t="s">
        <v>838</v>
      </c>
      <c r="C97" s="152">
        <v>7000</v>
      </c>
      <c r="D97" s="152">
        <v>7000</v>
      </c>
      <c r="E97" s="72">
        <v>7000</v>
      </c>
      <c r="G97" s="297">
        <f>G94-G96</f>
        <v>575511</v>
      </c>
      <c r="H97" s="296" t="str">
        <f>CONCATENATE("Projected ",E1+1," Carryover (est.)")</f>
        <v>Projected 2027 Carryover (est.)</v>
      </c>
      <c r="I97" s="295"/>
      <c r="J97" s="294"/>
    </row>
    <row r="98" spans="2:10" x14ac:dyDescent="0.2">
      <c r="B98" s="156" t="s">
        <v>839</v>
      </c>
      <c r="C98" s="152">
        <v>365000</v>
      </c>
      <c r="D98" s="152">
        <v>300000</v>
      </c>
      <c r="E98" s="72">
        <v>362000</v>
      </c>
    </row>
    <row r="99" spans="2:10" x14ac:dyDescent="0.2">
      <c r="B99" s="166" t="str">
        <f>CONCATENATE("Cash Reserve (",E1," column)")</f>
        <v>Cash Reserve (2026 column)</v>
      </c>
      <c r="C99" s="152"/>
      <c r="D99" s="152"/>
      <c r="E99" s="157"/>
      <c r="G99" s="670" t="s">
        <v>348</v>
      </c>
      <c r="H99" s="671"/>
      <c r="I99" s="671"/>
      <c r="J99" s="672"/>
    </row>
    <row r="100" spans="2:10" x14ac:dyDescent="0.2">
      <c r="B100" s="166" t="s">
        <v>338</v>
      </c>
      <c r="C100" s="152"/>
      <c r="D100" s="152"/>
      <c r="E100" s="157"/>
      <c r="G100" s="673"/>
      <c r="H100" s="674"/>
      <c r="I100" s="674"/>
      <c r="J100" s="675"/>
    </row>
    <row r="101" spans="2:10" x14ac:dyDescent="0.2">
      <c r="B101" s="166" t="s">
        <v>349</v>
      </c>
      <c r="C101" s="160" t="str">
        <f>IF(C102*0.1&lt;C100,"Exceed 10% Rule","")</f>
        <v/>
      </c>
      <c r="D101" s="160" t="str">
        <f>IF(D102*0.1&lt;D100,"Exceed 10% Rule","")</f>
        <v/>
      </c>
      <c r="E101" s="167" t="str">
        <f>IF(E102*0.1&lt;E100,"Exceed 10% Rule","")</f>
        <v/>
      </c>
      <c r="G101" s="351" t="e">
        <f>#REF!</f>
        <v>#REF!</v>
      </c>
      <c r="H101" s="348" t="str">
        <f>CONCATENATE("",E1," Estimated Fund Mill Rate")</f>
        <v>2026 Estimated Fund Mill Rate</v>
      </c>
      <c r="I101" s="349"/>
      <c r="J101" s="350"/>
    </row>
    <row r="102" spans="2:10" x14ac:dyDescent="0.2">
      <c r="B102" s="162" t="s">
        <v>351</v>
      </c>
      <c r="C102" s="164">
        <f>SUM(C79:C100)</f>
        <v>5892005</v>
      </c>
      <c r="D102" s="164">
        <f>SUM(D79:D100)</f>
        <v>5599333</v>
      </c>
      <c r="E102" s="165">
        <f>SUM(E79:E100)</f>
        <v>6762116</v>
      </c>
      <c r="G102" s="520" t="e">
        <f>#REF!</f>
        <v>#REF!</v>
      </c>
      <c r="H102" s="348" t="str">
        <f>CONCATENATE("",E1-1," Fund Mill Rate")</f>
        <v>2025 Fund Mill Rate</v>
      </c>
      <c r="I102" s="349"/>
      <c r="J102" s="350"/>
    </row>
    <row r="103" spans="2:10" x14ac:dyDescent="0.2">
      <c r="B103" s="560" t="s">
        <v>352</v>
      </c>
      <c r="C103" s="168">
        <f>C51-C102</f>
        <v>1435916</v>
      </c>
      <c r="D103" s="168">
        <f>D51-D102</f>
        <v>1326482</v>
      </c>
      <c r="E103" s="188" t="s">
        <v>179</v>
      </c>
      <c r="G103" s="521" t="e">
        <f>#REF!</f>
        <v>#REF!</v>
      </c>
      <c r="H103" s="522" t="s">
        <v>350</v>
      </c>
      <c r="I103" s="349"/>
      <c r="J103" s="350"/>
    </row>
    <row r="104" spans="2:10" x14ac:dyDescent="0.2">
      <c r="B104" s="121" t="str">
        <f>CONCATENATE("",E1-2,"/",E1-1,"/",E1," Budget Authority Amount:")</f>
        <v>2024/2025/2026 Budget Authority Amount:</v>
      </c>
      <c r="C104" s="180">
        <f>inputOth!B64</f>
        <v>6446365</v>
      </c>
      <c r="D104" s="180">
        <f>inputPrYr!D17</f>
        <v>6296663</v>
      </c>
      <c r="E104" s="154">
        <f>E102</f>
        <v>6762116</v>
      </c>
      <c r="G104" s="351" t="e">
        <f>#REF!</f>
        <v>#REF!</v>
      </c>
      <c r="H104" s="348" t="str">
        <f>CONCATENATE(E1," Estimated Total Mill Rate")</f>
        <v>2026 Estimated Total Mill Rate</v>
      </c>
      <c r="I104" s="349"/>
      <c r="J104" s="350"/>
    </row>
    <row r="105" spans="2:10" x14ac:dyDescent="0.2">
      <c r="B105" s="564"/>
      <c r="C105" s="661" t="s">
        <v>353</v>
      </c>
      <c r="D105" s="662"/>
      <c r="E105" s="72"/>
      <c r="G105" s="353" t="e">
        <f>#REF!</f>
        <v>#REF!</v>
      </c>
      <c r="H105" s="348" t="str">
        <f>CONCATENATE(E1-1," Total Mill Rate")</f>
        <v>2025 Total Mill Rate</v>
      </c>
      <c r="I105" s="349"/>
      <c r="J105" s="350"/>
    </row>
    <row r="106" spans="2:10" x14ac:dyDescent="0.2">
      <c r="B106" s="307" t="str">
        <f>CONCATENATE(C125,"     ",D125)</f>
        <v xml:space="preserve">     </v>
      </c>
      <c r="C106" s="663" t="s">
        <v>355</v>
      </c>
      <c r="D106" s="664"/>
      <c r="E106" s="154">
        <f>E102+E105</f>
        <v>6762116</v>
      </c>
      <c r="F106" s="176"/>
      <c r="G106" s="355"/>
      <c r="H106" s="324"/>
      <c r="I106" s="324"/>
      <c r="J106" s="356"/>
    </row>
    <row r="107" spans="2:10" x14ac:dyDescent="0.2">
      <c r="B107" s="307" t="str">
        <f>CONCATENATE(C126,"     ",D126)</f>
        <v xml:space="preserve">     </v>
      </c>
      <c r="C107" s="169"/>
      <c r="D107" s="62" t="s">
        <v>356</v>
      </c>
      <c r="E107" s="82">
        <f>IF(E106-E51&gt;0,E106-E51,0)</f>
        <v>1342353</v>
      </c>
      <c r="F107" s="407" t="str">
        <f>IF(E102/0.95-E102&lt;E105,"Exceeds 5%","")</f>
        <v/>
      </c>
      <c r="G107" s="676" t="s">
        <v>354</v>
      </c>
      <c r="H107" s="677"/>
      <c r="I107" s="677"/>
      <c r="J107" s="680" t="e">
        <f>IF(G104&gt;G103, "Yes", "No")</f>
        <v>#REF!</v>
      </c>
    </row>
    <row r="108" spans="2:10" x14ac:dyDescent="0.2">
      <c r="B108" s="62"/>
      <c r="C108" s="565" t="s">
        <v>357</v>
      </c>
      <c r="D108" s="344">
        <f>inputOth!$E$51</f>
        <v>0.02</v>
      </c>
      <c r="E108" s="154">
        <f>ROUND(IF(D108&gt;0,(E107*D108),0),0)</f>
        <v>26847</v>
      </c>
      <c r="G108" s="678"/>
      <c r="H108" s="679"/>
      <c r="I108" s="679"/>
      <c r="J108" s="681"/>
    </row>
    <row r="109" spans="2:10" ht="16.5" thickBot="1" x14ac:dyDescent="0.25">
      <c r="B109" s="33"/>
      <c r="C109" s="659" t="str">
        <f>CONCATENATE("Amount of  ",$E$1-1," Ad Valorem Tax")</f>
        <v>Amount of  2025 Ad Valorem Tax</v>
      </c>
      <c r="D109" s="660"/>
      <c r="E109" s="369">
        <f>E107+E108</f>
        <v>1369200</v>
      </c>
      <c r="G109" s="657" t="e">
        <f>IF(J107="Yes", "Follow procedure prescribed by KSA 79-2988 to exceed the Revenue Neutral Rate.", " ")</f>
        <v>#REF!</v>
      </c>
      <c r="H109" s="657"/>
      <c r="I109" s="657"/>
      <c r="J109" s="657"/>
    </row>
    <row r="110" spans="2:10" ht="16.5" thickTop="1" x14ac:dyDescent="0.2">
      <c r="B110" s="33"/>
      <c r="C110" s="564"/>
      <c r="D110" s="33"/>
      <c r="E110" s="33"/>
      <c r="G110" s="658"/>
      <c r="H110" s="658"/>
      <c r="I110" s="658"/>
      <c r="J110" s="658"/>
    </row>
    <row r="111" spans="2:10" x14ac:dyDescent="0.2">
      <c r="B111" s="495" t="s">
        <v>160</v>
      </c>
      <c r="C111" s="481"/>
      <c r="D111" s="98"/>
      <c r="E111" s="479"/>
      <c r="G111" s="658"/>
      <c r="H111" s="658"/>
      <c r="I111" s="658"/>
      <c r="J111" s="658"/>
    </row>
    <row r="112" spans="2:10" x14ac:dyDescent="0.2">
      <c r="B112" s="355"/>
      <c r="C112" s="33"/>
      <c r="D112" s="33"/>
      <c r="E112" s="356"/>
    </row>
    <row r="113" spans="2:5" x14ac:dyDescent="0.2">
      <c r="B113" s="480"/>
      <c r="C113" s="61"/>
      <c r="D113" s="61"/>
      <c r="E113" s="81"/>
    </row>
    <row r="114" spans="2:5" x14ac:dyDescent="0.2">
      <c r="B114" s="33"/>
      <c r="C114" s="33"/>
      <c r="D114" s="33"/>
      <c r="E114" s="33"/>
    </row>
    <row r="115" spans="2:5" x14ac:dyDescent="0.2">
      <c r="B115" s="564" t="s">
        <v>280</v>
      </c>
      <c r="C115" s="121" t="str">
        <f>CONCATENATE("",C53,"a")</f>
        <v>7a</v>
      </c>
      <c r="D115" s="559"/>
      <c r="E115" s="559"/>
    </row>
    <row r="117" spans="2:5" x14ac:dyDescent="0.2">
      <c r="B117" s="29"/>
    </row>
    <row r="120" spans="2:5" x14ac:dyDescent="0.2">
      <c r="B120" s="30"/>
      <c r="C120" s="30"/>
    </row>
    <row r="123" spans="2:5" hidden="1" x14ac:dyDescent="0.2"/>
    <row r="124" spans="2:5" hidden="1" x14ac:dyDescent="0.2"/>
    <row r="125" spans="2:5" x14ac:dyDescent="0.2">
      <c r="C125" s="64" t="str">
        <f>IF(C102&gt;C104,"See Tab A","")</f>
        <v/>
      </c>
      <c r="D125" s="64" t="str">
        <f>IF(D102&gt;D104,"See Tab C","")</f>
        <v/>
      </c>
    </row>
    <row r="126" spans="2:5" x14ac:dyDescent="0.2">
      <c r="C126" s="64" t="str">
        <f>IF(C103&lt;0,"See Tab B","")</f>
        <v/>
      </c>
      <c r="D126" s="64" t="str">
        <f>IF(D103&lt;0,"See Tab D","")</f>
        <v/>
      </c>
    </row>
  </sheetData>
  <mergeCells count="9">
    <mergeCell ref="G109:J111"/>
    <mergeCell ref="C109:D109"/>
    <mergeCell ref="C105:D105"/>
    <mergeCell ref="C106:D106"/>
    <mergeCell ref="G82:J82"/>
    <mergeCell ref="G89:J89"/>
    <mergeCell ref="G99:J100"/>
    <mergeCell ref="G107:I108"/>
    <mergeCell ref="J107:J108"/>
  </mergeCells>
  <phoneticPr fontId="0" type="noConversion"/>
  <conditionalFormatting sqref="C48">
    <cfRule type="cellIs" dxfId="114" priority="1" stopIfTrue="1" operator="greaterThan">
      <formula>$C$49*0.1</formula>
    </cfRule>
  </conditionalFormatting>
  <conditionalFormatting sqref="C100">
    <cfRule type="cellIs" dxfId="113" priority="9" stopIfTrue="1" operator="greaterThan">
      <formula>$C$102*0.1</formula>
    </cfRule>
  </conditionalFormatting>
  <conditionalFormatting sqref="C102">
    <cfRule type="cellIs" dxfId="112" priority="7" stopIfTrue="1" operator="greaterThan">
      <formula>$C$104</formula>
    </cfRule>
  </conditionalFormatting>
  <conditionalFormatting sqref="C103">
    <cfRule type="cellIs" dxfId="111" priority="8" stopIfTrue="1" operator="lessThan">
      <formula>0</formula>
    </cfRule>
  </conditionalFormatting>
  <conditionalFormatting sqref="D48">
    <cfRule type="cellIs" dxfId="110" priority="11" stopIfTrue="1" operator="greaterThan">
      <formula>$D$50*0.1</formula>
    </cfRule>
  </conditionalFormatting>
  <conditionalFormatting sqref="D100">
    <cfRule type="cellIs" dxfId="109" priority="10" stopIfTrue="1" operator="greaterThan">
      <formula>$D$102*0.1</formula>
    </cfRule>
  </conditionalFormatting>
  <conditionalFormatting sqref="D102">
    <cfRule type="cellIs" dxfId="108" priority="6" stopIfTrue="1" operator="greaterThan">
      <formula>$D$104</formula>
    </cfRule>
  </conditionalFormatting>
  <conditionalFormatting sqref="D103">
    <cfRule type="cellIs" dxfId="107" priority="3" stopIfTrue="1" operator="lessThan">
      <formula>0</formula>
    </cfRule>
  </conditionalFormatting>
  <conditionalFormatting sqref="E48">
    <cfRule type="cellIs" dxfId="106" priority="13" stopIfTrue="1" operator="greaterThan">
      <formula>$E$50*0.1+E109</formula>
    </cfRule>
  </conditionalFormatting>
  <conditionalFormatting sqref="E100">
    <cfRule type="cellIs" dxfId="105" priority="4" stopIfTrue="1" operator="greaterThan">
      <formula>$E$102*0.1</formula>
    </cfRule>
  </conditionalFormatting>
  <conditionalFormatting sqref="E105">
    <cfRule type="cellIs" dxfId="104" priority="5" stopIfTrue="1" operator="greaterThan">
      <formula>$E$102/0.95-$E$102</formula>
    </cfRule>
  </conditionalFormatting>
  <conditionalFormatting sqref="J107">
    <cfRule type="containsText" dxfId="103" priority="2" operator="containsText" text="Yes">
      <formula>NOT(ISERROR(SEARCH("Yes",J107)))</formula>
    </cfRule>
  </conditionalFormatting>
  <pageMargins left="0.5" right="0.5" top="1" bottom="0.5" header="0.5" footer="0.5"/>
  <pageSetup scale="75" fitToHeight="2" orientation="portrait" blackAndWhite="1" r:id="rId1"/>
  <headerFooter alignWithMargins="0">
    <oddHeader>&amp;RState of Kansas
City</oddHeader>
  </headerFooter>
  <rowBreaks count="1" manualBreakCount="1">
    <brk id="53" min="1" max="4"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F0"/>
  </sheetPr>
  <dimension ref="A1:K142"/>
  <sheetViews>
    <sheetView topLeftCell="A70" zoomScaleNormal="100" workbookViewId="0">
      <selection activeCell="D84" sqref="D84"/>
    </sheetView>
  </sheetViews>
  <sheetFormatPr defaultColWidth="8.88671875" defaultRowHeight="15.75" x14ac:dyDescent="0.2"/>
  <cols>
    <col min="1" max="1" width="28.33203125" style="30" customWidth="1"/>
    <col min="2" max="3" width="15.77734375" style="30" customWidth="1"/>
    <col min="4" max="4" width="16.109375" style="30" customWidth="1"/>
    <col min="5" max="16384" width="8.88671875" style="30"/>
  </cols>
  <sheetData>
    <row r="1" spans="1:4" x14ac:dyDescent="0.2">
      <c r="A1" s="51" t="str">
        <f>inputPrYr!D3</f>
        <v>City of Concordia</v>
      </c>
      <c r="B1" s="33"/>
      <c r="C1" s="121"/>
      <c r="D1" s="33">
        <f>inputPrYr!C6</f>
        <v>2026</v>
      </c>
    </row>
    <row r="2" spans="1:4" x14ac:dyDescent="0.2">
      <c r="A2" s="33"/>
      <c r="B2" s="33"/>
      <c r="C2" s="33"/>
      <c r="D2" s="121"/>
    </row>
    <row r="3" spans="1:4" x14ac:dyDescent="0.2">
      <c r="A3" s="146"/>
      <c r="B3" s="183"/>
      <c r="C3" s="183"/>
      <c r="D3" s="183"/>
    </row>
    <row r="4" spans="1:4" x14ac:dyDescent="0.2">
      <c r="A4" s="121" t="s">
        <v>320</v>
      </c>
      <c r="B4" s="42" t="s">
        <v>321</v>
      </c>
      <c r="C4" s="43" t="s">
        <v>322</v>
      </c>
      <c r="D4" s="43" t="s">
        <v>323</v>
      </c>
    </row>
    <row r="5" spans="1:4" x14ac:dyDescent="0.2">
      <c r="A5" s="61" t="s">
        <v>358</v>
      </c>
      <c r="B5" s="46" t="str">
        <f>CONCATENATE("Actual for ",D1-2,"")</f>
        <v>Actual for 2024</v>
      </c>
      <c r="C5" s="46" t="str">
        <f>CONCATENATE("Estimate for ",D1-1,"")</f>
        <v>Estimate for 2025</v>
      </c>
      <c r="D5" s="46" t="str">
        <f>CONCATENATE("Year for ",D1,"")</f>
        <v>Year for 2026</v>
      </c>
    </row>
    <row r="6" spans="1:4" x14ac:dyDescent="0.2">
      <c r="A6" s="184" t="s">
        <v>343</v>
      </c>
      <c r="B6" s="47"/>
      <c r="C6" s="47"/>
      <c r="D6" s="47"/>
    </row>
    <row r="7" spans="1:4" x14ac:dyDescent="0.2">
      <c r="A7" s="237" t="s">
        <v>817</v>
      </c>
      <c r="B7" s="47"/>
      <c r="C7" s="47"/>
      <c r="D7" s="47"/>
    </row>
    <row r="8" spans="1:4" x14ac:dyDescent="0.2">
      <c r="A8" s="185" t="s">
        <v>359</v>
      </c>
      <c r="B8" s="157">
        <v>7803</v>
      </c>
      <c r="C8" s="157">
        <v>3285</v>
      </c>
      <c r="D8" s="157">
        <v>135</v>
      </c>
    </row>
    <row r="9" spans="1:4" x14ac:dyDescent="0.2">
      <c r="A9" s="185" t="s">
        <v>360</v>
      </c>
      <c r="B9" s="157">
        <f>491364-264633</f>
        <v>226731</v>
      </c>
      <c r="C9" s="157">
        <v>292000</v>
      </c>
      <c r="D9" s="157">
        <v>288500</v>
      </c>
    </row>
    <row r="10" spans="1:4" x14ac:dyDescent="0.2">
      <c r="A10" s="185" t="s">
        <v>361</v>
      </c>
      <c r="B10" s="157">
        <v>10627</v>
      </c>
      <c r="C10" s="157">
        <v>12450</v>
      </c>
      <c r="D10" s="157">
        <v>22800</v>
      </c>
    </row>
    <row r="11" spans="1:4" x14ac:dyDescent="0.2">
      <c r="A11" s="185" t="s">
        <v>362</v>
      </c>
      <c r="B11" s="157">
        <v>17952</v>
      </c>
      <c r="C11" s="157">
        <v>11098</v>
      </c>
      <c r="D11" s="157">
        <v>13000</v>
      </c>
    </row>
    <row r="12" spans="1:4" x14ac:dyDescent="0.2">
      <c r="A12" s="185" t="s">
        <v>816</v>
      </c>
      <c r="B12" s="157">
        <v>47200</v>
      </c>
      <c r="C12" s="157">
        <v>52200</v>
      </c>
      <c r="D12" s="157">
        <v>52200</v>
      </c>
    </row>
    <row r="13" spans="1:4" x14ac:dyDescent="0.2">
      <c r="A13" s="74"/>
      <c r="B13" s="157"/>
      <c r="C13" s="157"/>
      <c r="D13" s="157"/>
    </row>
    <row r="14" spans="1:4" x14ac:dyDescent="0.2">
      <c r="A14" s="74"/>
      <c r="B14" s="157"/>
      <c r="C14" s="157"/>
      <c r="D14" s="157"/>
    </row>
    <row r="15" spans="1:4" x14ac:dyDescent="0.2">
      <c r="A15" s="184" t="s">
        <v>107</v>
      </c>
      <c r="B15" s="163">
        <f>SUM(B8:B14)</f>
        <v>310313</v>
      </c>
      <c r="C15" s="163">
        <f>SUM(C8:C14)</f>
        <v>371033</v>
      </c>
      <c r="D15" s="163">
        <f>SUM(D8:D14)</f>
        <v>376635</v>
      </c>
    </row>
    <row r="16" spans="1:4" x14ac:dyDescent="0.2">
      <c r="A16" s="63" t="s">
        <v>818</v>
      </c>
      <c r="B16" s="51"/>
      <c r="C16" s="51"/>
      <c r="D16" s="51"/>
    </row>
    <row r="17" spans="1:4" x14ac:dyDescent="0.2">
      <c r="A17" s="185" t="s">
        <v>359</v>
      </c>
      <c r="B17" s="157">
        <v>249494</v>
      </c>
      <c r="C17" s="157">
        <v>260277</v>
      </c>
      <c r="D17" s="157">
        <v>269195</v>
      </c>
    </row>
    <row r="18" spans="1:4" x14ac:dyDescent="0.2">
      <c r="A18" s="185" t="s">
        <v>360</v>
      </c>
      <c r="B18" s="157">
        <v>113652</v>
      </c>
      <c r="C18" s="157">
        <v>120560</v>
      </c>
      <c r="D18" s="157">
        <v>127600</v>
      </c>
    </row>
    <row r="19" spans="1:4" x14ac:dyDescent="0.2">
      <c r="A19" s="185" t="s">
        <v>361</v>
      </c>
      <c r="B19" s="157">
        <v>5937</v>
      </c>
      <c r="C19" s="157">
        <v>6676</v>
      </c>
      <c r="D19" s="157">
        <v>13100</v>
      </c>
    </row>
    <row r="20" spans="1:4" x14ac:dyDescent="0.2">
      <c r="A20" s="185" t="s">
        <v>362</v>
      </c>
      <c r="B20" s="157">
        <v>138</v>
      </c>
      <c r="C20" s="157">
        <v>500</v>
      </c>
      <c r="D20" s="157">
        <v>1000</v>
      </c>
    </row>
    <row r="21" spans="1:4" x14ac:dyDescent="0.2">
      <c r="A21" s="185"/>
      <c r="B21" s="157"/>
      <c r="C21" s="157"/>
      <c r="D21" s="157"/>
    </row>
    <row r="22" spans="1:4" x14ac:dyDescent="0.2">
      <c r="A22" s="184" t="s">
        <v>107</v>
      </c>
      <c r="B22" s="163">
        <f>SUM(B17:B21)</f>
        <v>369221</v>
      </c>
      <c r="C22" s="163">
        <f>SUM(C17:C21)</f>
        <v>388013</v>
      </c>
      <c r="D22" s="163">
        <f>SUM(D17:D21)</f>
        <v>410895</v>
      </c>
    </row>
    <row r="23" spans="1:4" x14ac:dyDescent="0.2">
      <c r="A23" s="63" t="s">
        <v>819</v>
      </c>
      <c r="B23" s="51"/>
      <c r="C23" s="51"/>
      <c r="D23" s="51"/>
    </row>
    <row r="24" spans="1:4" x14ac:dyDescent="0.2">
      <c r="A24" s="185" t="s">
        <v>359</v>
      </c>
      <c r="B24" s="157">
        <v>33246</v>
      </c>
      <c r="C24" s="157">
        <v>34680</v>
      </c>
      <c r="D24" s="157">
        <v>35438</v>
      </c>
    </row>
    <row r="25" spans="1:4" x14ac:dyDescent="0.2">
      <c r="A25" s="185" t="s">
        <v>360</v>
      </c>
      <c r="B25" s="157">
        <v>25744</v>
      </c>
      <c r="C25" s="157">
        <v>28400</v>
      </c>
      <c r="D25" s="157">
        <v>36100</v>
      </c>
    </row>
    <row r="26" spans="1:4" x14ac:dyDescent="0.2">
      <c r="A26" s="185" t="s">
        <v>361</v>
      </c>
      <c r="B26" s="157">
        <v>0</v>
      </c>
      <c r="C26" s="157">
        <v>50</v>
      </c>
      <c r="D26" s="157">
        <v>100</v>
      </c>
    </row>
    <row r="27" spans="1:4" x14ac:dyDescent="0.2">
      <c r="A27" s="185" t="s">
        <v>362</v>
      </c>
      <c r="B27" s="157">
        <v>0</v>
      </c>
      <c r="C27" s="157">
        <v>0</v>
      </c>
      <c r="D27" s="157">
        <v>0</v>
      </c>
    </row>
    <row r="28" spans="1:4" x14ac:dyDescent="0.2">
      <c r="A28" s="185"/>
      <c r="B28" s="157"/>
      <c r="C28" s="157"/>
      <c r="D28" s="157"/>
    </row>
    <row r="29" spans="1:4" x14ac:dyDescent="0.2">
      <c r="A29" s="184" t="s">
        <v>107</v>
      </c>
      <c r="B29" s="163">
        <f>SUM(B24:B28)</f>
        <v>58990</v>
      </c>
      <c r="C29" s="163">
        <f>SUM(C24:C28)</f>
        <v>63130</v>
      </c>
      <c r="D29" s="163">
        <f>SUM(D24:D28)</f>
        <v>71638</v>
      </c>
    </row>
    <row r="30" spans="1:4" x14ac:dyDescent="0.2">
      <c r="A30" s="63" t="s">
        <v>820</v>
      </c>
      <c r="B30" s="51"/>
      <c r="C30" s="51"/>
      <c r="D30" s="51"/>
    </row>
    <row r="31" spans="1:4" x14ac:dyDescent="0.2">
      <c r="A31" s="185" t="s">
        <v>359</v>
      </c>
      <c r="B31" s="157">
        <v>752421</v>
      </c>
      <c r="C31" s="157">
        <v>717630</v>
      </c>
      <c r="D31" s="157">
        <v>802130</v>
      </c>
    </row>
    <row r="32" spans="1:4" x14ac:dyDescent="0.2">
      <c r="A32" s="185" t="s">
        <v>360</v>
      </c>
      <c r="B32" s="157">
        <v>47071</v>
      </c>
      <c r="C32" s="157">
        <v>63035</v>
      </c>
      <c r="D32" s="157">
        <v>83435</v>
      </c>
    </row>
    <row r="33" spans="1:4" x14ac:dyDescent="0.2">
      <c r="A33" s="185" t="s">
        <v>361</v>
      </c>
      <c r="B33" s="157">
        <v>66655</v>
      </c>
      <c r="C33" s="157">
        <v>66100</v>
      </c>
      <c r="D33" s="157">
        <v>78000</v>
      </c>
    </row>
    <row r="34" spans="1:4" x14ac:dyDescent="0.2">
      <c r="A34" s="185" t="s">
        <v>362</v>
      </c>
      <c r="B34" s="157">
        <v>3156</v>
      </c>
      <c r="C34" s="157">
        <v>4200</v>
      </c>
      <c r="D34" s="157">
        <v>7500</v>
      </c>
    </row>
    <row r="35" spans="1:4" x14ac:dyDescent="0.2">
      <c r="A35" s="184" t="s">
        <v>107</v>
      </c>
      <c r="B35" s="163">
        <f>SUM(B31:B34)</f>
        <v>869303</v>
      </c>
      <c r="C35" s="163">
        <f>SUM(C31:C34)</f>
        <v>850965</v>
      </c>
      <c r="D35" s="163">
        <f>SUM(D31:D34)</f>
        <v>971065</v>
      </c>
    </row>
    <row r="36" spans="1:4" x14ac:dyDescent="0.2">
      <c r="A36" s="63" t="s">
        <v>821</v>
      </c>
      <c r="B36" s="51"/>
      <c r="C36" s="51"/>
      <c r="D36" s="51"/>
    </row>
    <row r="37" spans="1:4" x14ac:dyDescent="0.2">
      <c r="A37" s="185" t="s">
        <v>359</v>
      </c>
      <c r="B37" s="157">
        <v>337267</v>
      </c>
      <c r="C37" s="157">
        <v>340408</v>
      </c>
      <c r="D37" s="157">
        <v>384145</v>
      </c>
    </row>
    <row r="38" spans="1:4" x14ac:dyDescent="0.2">
      <c r="A38" s="185" t="s">
        <v>360</v>
      </c>
      <c r="B38" s="157">
        <v>18075</v>
      </c>
      <c r="C38" s="157">
        <v>12175</v>
      </c>
      <c r="D38" s="157">
        <v>21900</v>
      </c>
    </row>
    <row r="39" spans="1:4" x14ac:dyDescent="0.2">
      <c r="A39" s="185" t="s">
        <v>361</v>
      </c>
      <c r="B39" s="157">
        <v>3823</v>
      </c>
      <c r="C39" s="157">
        <v>4400</v>
      </c>
      <c r="D39" s="157">
        <v>7200</v>
      </c>
    </row>
    <row r="40" spans="1:4" x14ac:dyDescent="0.2">
      <c r="A40" s="185" t="s">
        <v>362</v>
      </c>
      <c r="B40" s="157">
        <v>370</v>
      </c>
      <c r="C40" s="157">
        <v>500</v>
      </c>
      <c r="D40" s="157">
        <v>1500</v>
      </c>
    </row>
    <row r="41" spans="1:4" x14ac:dyDescent="0.2">
      <c r="A41" s="185"/>
      <c r="B41" s="157"/>
      <c r="C41" s="157"/>
      <c r="D41" s="157"/>
    </row>
    <row r="42" spans="1:4" x14ac:dyDescent="0.2">
      <c r="A42" s="184" t="s">
        <v>107</v>
      </c>
      <c r="B42" s="163">
        <f>SUM(B37:B41)</f>
        <v>359535</v>
      </c>
      <c r="C42" s="163">
        <f>SUM(C37:C41)</f>
        <v>357483</v>
      </c>
      <c r="D42" s="163">
        <f>SUM(D37:D41)</f>
        <v>414745</v>
      </c>
    </row>
    <row r="43" spans="1:4" x14ac:dyDescent="0.2">
      <c r="A43" s="63" t="s">
        <v>822</v>
      </c>
      <c r="B43" s="51"/>
      <c r="C43" s="51"/>
      <c r="D43" s="51"/>
    </row>
    <row r="44" spans="1:4" x14ac:dyDescent="0.2">
      <c r="A44" s="185" t="s">
        <v>359</v>
      </c>
      <c r="B44" s="157">
        <v>459882</v>
      </c>
      <c r="C44" s="157">
        <v>470083</v>
      </c>
      <c r="D44" s="157">
        <v>522805</v>
      </c>
    </row>
    <row r="45" spans="1:4" x14ac:dyDescent="0.2">
      <c r="A45" s="185" t="s">
        <v>360</v>
      </c>
      <c r="B45" s="157">
        <v>3144</v>
      </c>
      <c r="C45" s="157">
        <v>11220</v>
      </c>
      <c r="D45" s="157">
        <v>13670</v>
      </c>
    </row>
    <row r="46" spans="1:4" x14ac:dyDescent="0.2">
      <c r="A46" s="185" t="s">
        <v>361</v>
      </c>
      <c r="B46" s="157">
        <v>82735</v>
      </c>
      <c r="C46" s="157">
        <v>73500</v>
      </c>
      <c r="D46" s="157">
        <v>77000</v>
      </c>
    </row>
    <row r="47" spans="1:4" x14ac:dyDescent="0.2">
      <c r="A47" s="185" t="s">
        <v>362</v>
      </c>
      <c r="B47" s="157">
        <v>7310</v>
      </c>
      <c r="C47" s="157">
        <v>7000</v>
      </c>
      <c r="D47" s="157">
        <v>10000</v>
      </c>
    </row>
    <row r="48" spans="1:4" x14ac:dyDescent="0.2">
      <c r="A48" s="185"/>
      <c r="B48" s="157"/>
      <c r="C48" s="157"/>
      <c r="D48" s="157"/>
    </row>
    <row r="49" spans="1:11" x14ac:dyDescent="0.2">
      <c r="A49" s="184" t="s">
        <v>107</v>
      </c>
      <c r="B49" s="163">
        <f>SUM(B44:B48)</f>
        <v>553071</v>
      </c>
      <c r="C49" s="163">
        <f>SUM(C44:C48)</f>
        <v>561803</v>
      </c>
      <c r="D49" s="163">
        <f>SUM(D44:D48)</f>
        <v>623475</v>
      </c>
    </row>
    <row r="50" spans="1:11" x14ac:dyDescent="0.2">
      <c r="A50" s="63" t="s">
        <v>805</v>
      </c>
      <c r="B50" s="51"/>
      <c r="C50" s="51"/>
      <c r="D50" s="51"/>
    </row>
    <row r="51" spans="1:11" x14ac:dyDescent="0.2">
      <c r="A51" s="185" t="s">
        <v>359</v>
      </c>
      <c r="B51" s="157">
        <v>452724</v>
      </c>
      <c r="C51" s="157">
        <v>469539</v>
      </c>
      <c r="D51" s="157">
        <v>529180</v>
      </c>
    </row>
    <row r="52" spans="1:11" x14ac:dyDescent="0.2">
      <c r="A52" s="185" t="s">
        <v>360</v>
      </c>
      <c r="B52" s="157">
        <v>72412</v>
      </c>
      <c r="C52" s="157">
        <v>49310</v>
      </c>
      <c r="D52" s="157">
        <v>56410</v>
      </c>
    </row>
    <row r="53" spans="1:11" x14ac:dyDescent="0.2">
      <c r="A53" s="185" t="s">
        <v>361</v>
      </c>
      <c r="B53" s="157">
        <v>39043</v>
      </c>
      <c r="C53" s="157">
        <v>50575</v>
      </c>
      <c r="D53" s="157">
        <v>59500</v>
      </c>
    </row>
    <row r="54" spans="1:11" x14ac:dyDescent="0.2">
      <c r="A54" s="185" t="s">
        <v>362</v>
      </c>
      <c r="B54" s="157">
        <v>0</v>
      </c>
      <c r="C54" s="157">
        <v>3000</v>
      </c>
      <c r="D54" s="157">
        <v>17500</v>
      </c>
    </row>
    <row r="55" spans="1:11" x14ac:dyDescent="0.2">
      <c r="A55" s="185"/>
      <c r="B55" s="157"/>
      <c r="C55" s="157"/>
      <c r="D55" s="157"/>
    </row>
    <row r="56" spans="1:11" x14ac:dyDescent="0.2">
      <c r="A56" s="184" t="s">
        <v>107</v>
      </c>
      <c r="B56" s="163">
        <f>SUM(B51:B55)</f>
        <v>564179</v>
      </c>
      <c r="C56" s="163">
        <f>SUM(C51:C55)</f>
        <v>572424</v>
      </c>
      <c r="D56" s="163">
        <f>SUM(D51:D55)</f>
        <v>662590</v>
      </c>
    </row>
    <row r="57" spans="1:11" x14ac:dyDescent="0.2">
      <c r="A57" s="63" t="s">
        <v>823</v>
      </c>
      <c r="B57" s="51"/>
      <c r="C57" s="51"/>
      <c r="D57" s="51"/>
    </row>
    <row r="58" spans="1:11" x14ac:dyDescent="0.2">
      <c r="A58" s="185" t="s">
        <v>359</v>
      </c>
      <c r="B58" s="157">
        <v>58290</v>
      </c>
      <c r="C58" s="157">
        <v>67336</v>
      </c>
      <c r="D58" s="157">
        <v>81086</v>
      </c>
      <c r="J58" s="592"/>
      <c r="K58" s="592"/>
    </row>
    <row r="59" spans="1:11" x14ac:dyDescent="0.2">
      <c r="A59" s="185" t="s">
        <v>360</v>
      </c>
      <c r="B59" s="157">
        <v>4654</v>
      </c>
      <c r="C59" s="157">
        <v>5050</v>
      </c>
      <c r="D59" s="157">
        <v>7585</v>
      </c>
    </row>
    <row r="60" spans="1:11" x14ac:dyDescent="0.2">
      <c r="A60" s="185" t="s">
        <v>361</v>
      </c>
      <c r="B60" s="157">
        <v>7451</v>
      </c>
      <c r="C60" s="157">
        <v>7450</v>
      </c>
      <c r="D60" s="157">
        <v>9050</v>
      </c>
    </row>
    <row r="61" spans="1:11" x14ac:dyDescent="0.2">
      <c r="A61" s="185" t="s">
        <v>362</v>
      </c>
      <c r="B61" s="157">
        <v>0</v>
      </c>
      <c r="C61" s="157">
        <v>0</v>
      </c>
      <c r="D61" s="157">
        <v>0</v>
      </c>
    </row>
    <row r="62" spans="1:11" x14ac:dyDescent="0.2">
      <c r="A62" s="185"/>
      <c r="B62" s="157"/>
      <c r="C62" s="157"/>
      <c r="D62" s="157"/>
    </row>
    <row r="63" spans="1:11" x14ac:dyDescent="0.2">
      <c r="A63" s="184" t="s">
        <v>107</v>
      </c>
      <c r="B63" s="163">
        <f>SUM(B58:B62)</f>
        <v>70395</v>
      </c>
      <c r="C63" s="163">
        <f>SUM(C58:C62)</f>
        <v>79836</v>
      </c>
      <c r="D63" s="163">
        <f>SUM(D58:D62)</f>
        <v>97721</v>
      </c>
    </row>
    <row r="64" spans="1:11" x14ac:dyDescent="0.2">
      <c r="A64" s="33"/>
      <c r="B64" s="51"/>
      <c r="C64" s="51"/>
      <c r="D64" s="51"/>
    </row>
    <row r="65" spans="1:4" ht="16.5" thickBot="1" x14ac:dyDescent="0.25">
      <c r="A65" s="184" t="s">
        <v>363</v>
      </c>
      <c r="B65" s="186">
        <f>B15+B22+B29+B35+B42+B49+B56+B63</f>
        <v>3155007</v>
      </c>
      <c r="C65" s="186">
        <f>C15+C22+C29+C35+C42+C49+C56+C63</f>
        <v>3244687</v>
      </c>
      <c r="D65" s="186">
        <f>D15+D22+D29+D35+D42+D49+D56+D63</f>
        <v>3628764</v>
      </c>
    </row>
    <row r="66" spans="1:4" ht="16.5" thickTop="1" x14ac:dyDescent="0.2">
      <c r="A66" s="556"/>
      <c r="B66" s="51"/>
      <c r="C66" s="51"/>
      <c r="D66" s="51"/>
    </row>
    <row r="67" spans="1:4" x14ac:dyDescent="0.2">
      <c r="A67" s="564" t="s">
        <v>364</v>
      </c>
      <c r="B67" s="51" t="str">
        <f>CONCATENATE("",General!C53,"b")</f>
        <v>7b</v>
      </c>
      <c r="C67" s="51"/>
      <c r="D67" s="51"/>
    </row>
    <row r="68" spans="1:4" x14ac:dyDescent="0.2">
      <c r="A68" s="33"/>
      <c r="B68" s="51"/>
      <c r="C68" s="51"/>
      <c r="D68" s="51"/>
    </row>
    <row r="69" spans="1:4" x14ac:dyDescent="0.2">
      <c r="A69" s="51" t="str">
        <f>A1</f>
        <v>City of Concordia</v>
      </c>
      <c r="B69" s="33"/>
      <c r="C69" s="121"/>
      <c r="D69" s="33">
        <f>D1</f>
        <v>2026</v>
      </c>
    </row>
    <row r="70" spans="1:4" x14ac:dyDescent="0.2">
      <c r="A70" s="33"/>
      <c r="B70" s="33"/>
      <c r="C70" s="33"/>
      <c r="D70" s="121"/>
    </row>
    <row r="71" spans="1:4" x14ac:dyDescent="0.2">
      <c r="A71" s="146"/>
      <c r="B71" s="183"/>
      <c r="C71" s="183"/>
      <c r="D71" s="183"/>
    </row>
    <row r="72" spans="1:4" x14ac:dyDescent="0.2">
      <c r="A72" s="398" t="s">
        <v>320</v>
      </c>
      <c r="B72" s="239" t="str">
        <f t="shared" ref="B72:D73" si="0">B4</f>
        <v xml:space="preserve">Prior Year </v>
      </c>
      <c r="C72" s="239" t="str">
        <f t="shared" si="0"/>
        <v xml:space="preserve">Current Year </v>
      </c>
      <c r="D72" s="239" t="str">
        <f t="shared" si="0"/>
        <v xml:space="preserve">Proposed Budget </v>
      </c>
    </row>
    <row r="73" spans="1:4" x14ac:dyDescent="0.2">
      <c r="A73" s="240" t="s">
        <v>365</v>
      </c>
      <c r="B73" s="240" t="str">
        <f t="shared" si="0"/>
        <v>Actual for 2024</v>
      </c>
      <c r="C73" s="240" t="str">
        <f t="shared" si="0"/>
        <v>Estimate for 2025</v>
      </c>
      <c r="D73" s="240" t="str">
        <f t="shared" si="0"/>
        <v>Year for 2026</v>
      </c>
    </row>
    <row r="74" spans="1:4" x14ac:dyDescent="0.2">
      <c r="A74" s="238" t="s">
        <v>343</v>
      </c>
      <c r="B74" s="241"/>
      <c r="C74" s="241"/>
      <c r="D74" s="241"/>
    </row>
    <row r="75" spans="1:4" x14ac:dyDescent="0.2">
      <c r="A75" s="237" t="s">
        <v>824</v>
      </c>
      <c r="B75" s="241"/>
      <c r="C75" s="241"/>
      <c r="D75" s="241"/>
    </row>
    <row r="76" spans="1:4" x14ac:dyDescent="0.2">
      <c r="A76" s="242" t="s">
        <v>359</v>
      </c>
      <c r="B76" s="157">
        <v>113391</v>
      </c>
      <c r="C76" s="243">
        <v>143675</v>
      </c>
      <c r="D76" s="243">
        <v>104361</v>
      </c>
    </row>
    <row r="77" spans="1:4" x14ac:dyDescent="0.2">
      <c r="A77" s="242" t="s">
        <v>360</v>
      </c>
      <c r="B77" s="157">
        <v>6479</v>
      </c>
      <c r="C77" s="243">
        <v>9300</v>
      </c>
      <c r="D77" s="243">
        <v>20600</v>
      </c>
    </row>
    <row r="78" spans="1:4" x14ac:dyDescent="0.2">
      <c r="A78" s="242" t="s">
        <v>361</v>
      </c>
      <c r="B78" s="157">
        <v>1989</v>
      </c>
      <c r="C78" s="243">
        <v>1650</v>
      </c>
      <c r="D78" s="243">
        <v>4200</v>
      </c>
    </row>
    <row r="79" spans="1:4" x14ac:dyDescent="0.2">
      <c r="A79" s="242" t="s">
        <v>362</v>
      </c>
      <c r="B79" s="157">
        <v>0</v>
      </c>
      <c r="C79" s="243">
        <v>100</v>
      </c>
      <c r="D79" s="243">
        <v>500</v>
      </c>
    </row>
    <row r="80" spans="1:4" x14ac:dyDescent="0.2">
      <c r="A80" s="244"/>
      <c r="B80" s="243"/>
      <c r="C80" s="243"/>
      <c r="D80" s="243"/>
    </row>
    <row r="81" spans="1:4" x14ac:dyDescent="0.2">
      <c r="A81" s="238" t="s">
        <v>107</v>
      </c>
      <c r="B81" s="245">
        <f>SUM(B76:B80)</f>
        <v>121859</v>
      </c>
      <c r="C81" s="245">
        <f>SUM(C76:C80)</f>
        <v>154725</v>
      </c>
      <c r="D81" s="245">
        <f>SUM(D76:D80)</f>
        <v>129661</v>
      </c>
    </row>
    <row r="82" spans="1:4" x14ac:dyDescent="0.2">
      <c r="A82" s="63" t="s">
        <v>825</v>
      </c>
      <c r="B82" s="51"/>
      <c r="C82" s="51"/>
      <c r="D82" s="51"/>
    </row>
    <row r="83" spans="1:4" x14ac:dyDescent="0.2">
      <c r="A83" s="242" t="s">
        <v>359</v>
      </c>
      <c r="B83" s="157">
        <v>387602</v>
      </c>
      <c r="C83" s="243">
        <v>434420</v>
      </c>
      <c r="D83" s="243">
        <v>498120</v>
      </c>
    </row>
    <row r="84" spans="1:4" x14ac:dyDescent="0.2">
      <c r="A84" s="242" t="s">
        <v>360</v>
      </c>
      <c r="B84" s="157">
        <v>18731</v>
      </c>
      <c r="C84" s="243">
        <v>17400</v>
      </c>
      <c r="D84" s="243">
        <v>27700</v>
      </c>
    </row>
    <row r="85" spans="1:4" x14ac:dyDescent="0.2">
      <c r="A85" s="242" t="s">
        <v>361</v>
      </c>
      <c r="B85" s="157">
        <v>104911</v>
      </c>
      <c r="C85" s="243">
        <v>101050</v>
      </c>
      <c r="D85" s="243">
        <v>111600</v>
      </c>
    </row>
    <row r="86" spans="1:4" x14ac:dyDescent="0.2">
      <c r="A86" s="242" t="s">
        <v>362</v>
      </c>
      <c r="B86" s="157">
        <v>0</v>
      </c>
      <c r="C86" s="243">
        <v>0</v>
      </c>
      <c r="D86" s="243">
        <v>0</v>
      </c>
    </row>
    <row r="87" spans="1:4" x14ac:dyDescent="0.2">
      <c r="A87" s="242"/>
      <c r="B87" s="243"/>
      <c r="C87" s="243"/>
      <c r="D87" s="243"/>
    </row>
    <row r="88" spans="1:4" x14ac:dyDescent="0.2">
      <c r="A88" s="238" t="s">
        <v>107</v>
      </c>
      <c r="B88" s="245">
        <f>SUM(B83:B87)</f>
        <v>511244</v>
      </c>
      <c r="C88" s="245">
        <f>SUM(C83:C87)</f>
        <v>552870</v>
      </c>
      <c r="D88" s="245">
        <f>SUM(D83:D87)</f>
        <v>637420</v>
      </c>
    </row>
    <row r="89" spans="1:4" x14ac:dyDescent="0.2">
      <c r="A89" s="63" t="s">
        <v>826</v>
      </c>
      <c r="B89" s="51"/>
      <c r="C89" s="51"/>
      <c r="D89" s="51"/>
    </row>
    <row r="90" spans="1:4" x14ac:dyDescent="0.2">
      <c r="A90" s="242" t="s">
        <v>359</v>
      </c>
      <c r="B90" s="157">
        <v>0</v>
      </c>
      <c r="C90" s="243">
        <v>0</v>
      </c>
      <c r="D90" s="243">
        <v>0</v>
      </c>
    </row>
    <row r="91" spans="1:4" x14ac:dyDescent="0.2">
      <c r="A91" s="242" t="s">
        <v>360</v>
      </c>
      <c r="B91" s="157">
        <v>50550</v>
      </c>
      <c r="C91" s="243">
        <v>34880</v>
      </c>
      <c r="D91" s="243">
        <v>41000</v>
      </c>
    </row>
    <row r="92" spans="1:4" x14ac:dyDescent="0.2">
      <c r="A92" s="242" t="s">
        <v>361</v>
      </c>
      <c r="B92" s="157">
        <v>64024</v>
      </c>
      <c r="C92" s="243">
        <v>57500</v>
      </c>
      <c r="D92" s="243">
        <v>88500</v>
      </c>
    </row>
    <row r="93" spans="1:4" x14ac:dyDescent="0.2">
      <c r="A93" s="242" t="s">
        <v>362</v>
      </c>
      <c r="B93" s="157">
        <v>0</v>
      </c>
      <c r="C93" s="243">
        <v>8500</v>
      </c>
      <c r="D93" s="243">
        <v>11000</v>
      </c>
    </row>
    <row r="94" spans="1:4" x14ac:dyDescent="0.2">
      <c r="A94" s="242"/>
      <c r="B94" s="243"/>
      <c r="C94" s="243"/>
      <c r="D94" s="243"/>
    </row>
    <row r="95" spans="1:4" x14ac:dyDescent="0.2">
      <c r="A95" s="238" t="s">
        <v>107</v>
      </c>
      <c r="B95" s="245">
        <f>SUM(B90:B94)</f>
        <v>114574</v>
      </c>
      <c r="C95" s="245">
        <f>SUM(C90:C94)</f>
        <v>100880</v>
      </c>
      <c r="D95" s="245">
        <f>SUM(D90:D94)</f>
        <v>140500</v>
      </c>
    </row>
    <row r="96" spans="1:4" x14ac:dyDescent="0.2">
      <c r="A96" s="63" t="s">
        <v>827</v>
      </c>
      <c r="B96" s="51"/>
      <c r="C96" s="51"/>
      <c r="D96" s="51"/>
    </row>
    <row r="97" spans="1:4" x14ac:dyDescent="0.2">
      <c r="A97" s="242" t="s">
        <v>359</v>
      </c>
      <c r="B97" s="157">
        <v>315391</v>
      </c>
      <c r="C97" s="243">
        <v>337080</v>
      </c>
      <c r="D97" s="243">
        <v>350360</v>
      </c>
    </row>
    <row r="98" spans="1:4" x14ac:dyDescent="0.2">
      <c r="A98" s="242" t="s">
        <v>360</v>
      </c>
      <c r="B98" s="157">
        <v>15796</v>
      </c>
      <c r="C98" s="243">
        <v>14925</v>
      </c>
      <c r="D98" s="243">
        <v>23950</v>
      </c>
    </row>
    <row r="99" spans="1:4" x14ac:dyDescent="0.2">
      <c r="A99" s="242" t="s">
        <v>361</v>
      </c>
      <c r="B99" s="157">
        <v>38814</v>
      </c>
      <c r="C99" s="243">
        <v>37750</v>
      </c>
      <c r="D99" s="243">
        <v>57350</v>
      </c>
    </row>
    <row r="100" spans="1:4" x14ac:dyDescent="0.2">
      <c r="A100" s="242" t="s">
        <v>362</v>
      </c>
      <c r="B100" s="157">
        <v>0</v>
      </c>
      <c r="C100" s="243">
        <v>0</v>
      </c>
      <c r="D100" s="243">
        <v>0</v>
      </c>
    </row>
    <row r="101" spans="1:4" x14ac:dyDescent="0.2">
      <c r="A101" s="238" t="s">
        <v>107</v>
      </c>
      <c r="B101" s="245">
        <f>SUM(B97:B100)</f>
        <v>370001</v>
      </c>
      <c r="C101" s="245">
        <f>SUM(C97:C100)</f>
        <v>389755</v>
      </c>
      <c r="D101" s="245">
        <f>SUM(D97:D100)</f>
        <v>431660</v>
      </c>
    </row>
    <row r="102" spans="1:4" x14ac:dyDescent="0.2">
      <c r="A102" s="63" t="s">
        <v>828</v>
      </c>
      <c r="B102" s="51"/>
      <c r="C102" s="51"/>
      <c r="D102" s="51"/>
    </row>
    <row r="103" spans="1:4" x14ac:dyDescent="0.2">
      <c r="A103" s="242" t="s">
        <v>359</v>
      </c>
      <c r="B103" s="157">
        <v>61152</v>
      </c>
      <c r="C103" s="243">
        <v>63088</v>
      </c>
      <c r="D103" s="243">
        <v>65937</v>
      </c>
    </row>
    <row r="104" spans="1:4" x14ac:dyDescent="0.2">
      <c r="A104" s="242" t="s">
        <v>360</v>
      </c>
      <c r="B104" s="157">
        <v>2914</v>
      </c>
      <c r="C104" s="243">
        <v>3350</v>
      </c>
      <c r="D104" s="243">
        <v>7000</v>
      </c>
    </row>
    <row r="105" spans="1:4" x14ac:dyDescent="0.2">
      <c r="A105" s="242" t="s">
        <v>361</v>
      </c>
      <c r="B105" s="157">
        <v>15863</v>
      </c>
      <c r="C105" s="243">
        <v>18800</v>
      </c>
      <c r="D105" s="243">
        <v>30050</v>
      </c>
    </row>
    <row r="106" spans="1:4" x14ac:dyDescent="0.2">
      <c r="A106" s="242" t="s">
        <v>362</v>
      </c>
      <c r="B106" s="157">
        <v>0</v>
      </c>
      <c r="C106" s="243">
        <v>500</v>
      </c>
      <c r="D106" s="243">
        <v>4000</v>
      </c>
    </row>
    <row r="107" spans="1:4" x14ac:dyDescent="0.2">
      <c r="A107" s="242"/>
      <c r="B107" s="243"/>
      <c r="C107" s="243"/>
      <c r="D107" s="243"/>
    </row>
    <row r="108" spans="1:4" x14ac:dyDescent="0.2">
      <c r="A108" s="238" t="s">
        <v>107</v>
      </c>
      <c r="B108" s="245">
        <f>SUM(B103:B107)</f>
        <v>79929</v>
      </c>
      <c r="C108" s="245">
        <f>SUM(C103:C107)</f>
        <v>85738</v>
      </c>
      <c r="D108" s="245">
        <f>SUM(D103:D107)</f>
        <v>106987</v>
      </c>
    </row>
    <row r="109" spans="1:4" x14ac:dyDescent="0.2">
      <c r="A109" s="63" t="s">
        <v>829</v>
      </c>
      <c r="B109" s="51"/>
      <c r="C109" s="51"/>
      <c r="D109" s="51"/>
    </row>
    <row r="110" spans="1:4" x14ac:dyDescent="0.2">
      <c r="A110" s="242" t="s">
        <v>359</v>
      </c>
      <c r="B110" s="157">
        <v>88719</v>
      </c>
      <c r="C110" s="243">
        <v>89410</v>
      </c>
      <c r="D110" s="243">
        <v>89750</v>
      </c>
    </row>
    <row r="111" spans="1:4" x14ac:dyDescent="0.2">
      <c r="A111" s="242" t="s">
        <v>360</v>
      </c>
      <c r="B111" s="157">
        <v>17160</v>
      </c>
      <c r="C111" s="243">
        <v>24375</v>
      </c>
      <c r="D111" s="243">
        <v>29200</v>
      </c>
    </row>
    <row r="112" spans="1:4" x14ac:dyDescent="0.2">
      <c r="A112" s="242" t="s">
        <v>361</v>
      </c>
      <c r="B112" s="157">
        <v>53972</v>
      </c>
      <c r="C112" s="243">
        <v>47800</v>
      </c>
      <c r="D112" s="243">
        <v>51500</v>
      </c>
    </row>
    <row r="113" spans="1:4" x14ac:dyDescent="0.2">
      <c r="A113" s="242" t="s">
        <v>362</v>
      </c>
      <c r="B113" s="157">
        <v>7057</v>
      </c>
      <c r="C113" s="243">
        <v>5700</v>
      </c>
      <c r="D113" s="243">
        <v>5000</v>
      </c>
    </row>
    <row r="114" spans="1:4" x14ac:dyDescent="0.2">
      <c r="A114" s="242"/>
      <c r="B114" s="243"/>
      <c r="C114" s="243"/>
      <c r="D114" s="243"/>
    </row>
    <row r="115" spans="1:4" x14ac:dyDescent="0.2">
      <c r="A115" s="238" t="s">
        <v>107</v>
      </c>
      <c r="B115" s="245">
        <f>SUM(B110:B114)</f>
        <v>166908</v>
      </c>
      <c r="C115" s="245">
        <f>SUM(C110:C114)</f>
        <v>167285</v>
      </c>
      <c r="D115" s="245">
        <f>SUM(D110:D114)</f>
        <v>175450</v>
      </c>
    </row>
    <row r="116" spans="1:4" x14ac:dyDescent="0.2">
      <c r="A116" s="63" t="s">
        <v>830</v>
      </c>
      <c r="B116" s="51"/>
      <c r="C116" s="51"/>
      <c r="D116" s="51"/>
    </row>
    <row r="117" spans="1:4" x14ac:dyDescent="0.2">
      <c r="A117" s="242" t="s">
        <v>359</v>
      </c>
      <c r="B117" s="157">
        <v>63935</v>
      </c>
      <c r="C117" s="243">
        <v>66774</v>
      </c>
      <c r="D117" s="243">
        <v>69992</v>
      </c>
    </row>
    <row r="118" spans="1:4" x14ac:dyDescent="0.2">
      <c r="A118" s="242" t="s">
        <v>360</v>
      </c>
      <c r="B118" s="157">
        <v>17886</v>
      </c>
      <c r="C118" s="243">
        <v>18200</v>
      </c>
      <c r="D118" s="243">
        <v>20500</v>
      </c>
    </row>
    <row r="119" spans="1:4" x14ac:dyDescent="0.2">
      <c r="A119" s="242" t="s">
        <v>361</v>
      </c>
      <c r="B119" s="157">
        <v>13724</v>
      </c>
      <c r="C119" s="243">
        <v>17550</v>
      </c>
      <c r="D119" s="243">
        <v>21800</v>
      </c>
    </row>
    <row r="120" spans="1:4" x14ac:dyDescent="0.2">
      <c r="A120" s="242" t="s">
        <v>362</v>
      </c>
      <c r="B120" s="157">
        <v>0</v>
      </c>
      <c r="C120" s="243">
        <v>0</v>
      </c>
      <c r="D120" s="243">
        <v>0</v>
      </c>
    </row>
    <row r="121" spans="1:4" x14ac:dyDescent="0.2">
      <c r="A121" s="242"/>
      <c r="B121" s="243"/>
      <c r="C121" s="243"/>
      <c r="D121" s="243"/>
    </row>
    <row r="122" spans="1:4" x14ac:dyDescent="0.2">
      <c r="A122" s="238" t="s">
        <v>107</v>
      </c>
      <c r="B122" s="245">
        <f>SUM(B117:B121)</f>
        <v>95545</v>
      </c>
      <c r="C122" s="245">
        <f>SUM(C117:C121)</f>
        <v>102524</v>
      </c>
      <c r="D122" s="245">
        <f>SUM(D117:D121)</f>
        <v>112292</v>
      </c>
    </row>
    <row r="123" spans="1:4" x14ac:dyDescent="0.2">
      <c r="A123" s="63" t="s">
        <v>831</v>
      </c>
      <c r="B123" s="51"/>
      <c r="C123" s="51"/>
      <c r="D123" s="51"/>
    </row>
    <row r="124" spans="1:4" x14ac:dyDescent="0.2">
      <c r="A124" s="242" t="s">
        <v>359</v>
      </c>
      <c r="B124" s="157">
        <v>85051</v>
      </c>
      <c r="C124" s="243">
        <v>89753</v>
      </c>
      <c r="D124" s="243">
        <v>93112</v>
      </c>
    </row>
    <row r="125" spans="1:4" x14ac:dyDescent="0.2">
      <c r="A125" s="242" t="s">
        <v>360</v>
      </c>
      <c r="B125" s="157">
        <v>10968</v>
      </c>
      <c r="C125" s="243">
        <v>11380</v>
      </c>
      <c r="D125" s="243">
        <v>16435</v>
      </c>
    </row>
    <row r="126" spans="1:4" x14ac:dyDescent="0.2">
      <c r="A126" s="242" t="s">
        <v>361</v>
      </c>
      <c r="B126" s="157">
        <v>37254</v>
      </c>
      <c r="C126" s="243">
        <v>42700</v>
      </c>
      <c r="D126" s="243">
        <v>47900</v>
      </c>
    </row>
    <row r="127" spans="1:4" x14ac:dyDescent="0.2">
      <c r="A127" s="242" t="s">
        <v>362</v>
      </c>
      <c r="B127" s="157">
        <v>0</v>
      </c>
      <c r="C127" s="243">
        <v>0</v>
      </c>
      <c r="D127" s="243">
        <v>0</v>
      </c>
    </row>
    <row r="128" spans="1:4" x14ac:dyDescent="0.2">
      <c r="A128" s="242"/>
      <c r="B128" s="243"/>
      <c r="C128" s="243"/>
      <c r="D128" s="243"/>
    </row>
    <row r="129" spans="1:4" x14ac:dyDescent="0.2">
      <c r="A129" s="238" t="s">
        <v>107</v>
      </c>
      <c r="B129" s="245">
        <f>SUM(B124:B128)</f>
        <v>133273</v>
      </c>
      <c r="C129" s="245">
        <f>SUM(C124:C128)</f>
        <v>143833</v>
      </c>
      <c r="D129" s="245">
        <f>SUM(D124:D128)</f>
        <v>157447</v>
      </c>
    </row>
    <row r="130" spans="1:4" x14ac:dyDescent="0.2">
      <c r="A130" s="63" t="s">
        <v>832</v>
      </c>
      <c r="B130" s="51"/>
      <c r="C130" s="51"/>
      <c r="D130" s="51"/>
    </row>
    <row r="131" spans="1:4" x14ac:dyDescent="0.2">
      <c r="A131" s="242" t="s">
        <v>359</v>
      </c>
      <c r="B131" s="157">
        <v>113</v>
      </c>
      <c r="C131" s="243">
        <v>0</v>
      </c>
      <c r="D131" s="243">
        <v>0</v>
      </c>
    </row>
    <row r="132" spans="1:4" x14ac:dyDescent="0.2">
      <c r="A132" s="242" t="s">
        <v>360</v>
      </c>
      <c r="B132" s="157">
        <v>45224</v>
      </c>
      <c r="C132" s="243">
        <v>40786</v>
      </c>
      <c r="D132" s="243">
        <v>52200</v>
      </c>
    </row>
    <row r="133" spans="1:4" x14ac:dyDescent="0.2">
      <c r="A133" s="242" t="s">
        <v>361</v>
      </c>
      <c r="B133" s="157">
        <v>6489</v>
      </c>
      <c r="C133" s="243">
        <v>4250</v>
      </c>
      <c r="D133" s="243">
        <v>6000</v>
      </c>
    </row>
    <row r="134" spans="1:4" x14ac:dyDescent="0.2">
      <c r="A134" s="242" t="s">
        <v>362</v>
      </c>
      <c r="B134" s="157">
        <v>206</v>
      </c>
      <c r="C134" s="243">
        <v>0</v>
      </c>
      <c r="D134" s="243">
        <v>1500</v>
      </c>
    </row>
    <row r="135" spans="1:4" x14ac:dyDescent="0.2">
      <c r="A135" s="242"/>
      <c r="B135" s="243"/>
      <c r="C135" s="243"/>
      <c r="D135" s="243"/>
    </row>
    <row r="136" spans="1:4" x14ac:dyDescent="0.2">
      <c r="A136" s="238" t="s">
        <v>107</v>
      </c>
      <c r="B136" s="245">
        <f>SUM(B131:B135)</f>
        <v>52032</v>
      </c>
      <c r="C136" s="245">
        <f>SUM(C131:C135)</f>
        <v>45036</v>
      </c>
      <c r="D136" s="245">
        <f>SUM(D131:D135)</f>
        <v>59700</v>
      </c>
    </row>
    <row r="137" spans="1:4" x14ac:dyDescent="0.2">
      <c r="A137" s="238"/>
      <c r="B137" s="51"/>
      <c r="C137" s="51"/>
      <c r="D137" s="51"/>
    </row>
    <row r="138" spans="1:4" x14ac:dyDescent="0.2">
      <c r="A138" s="246" t="s">
        <v>366</v>
      </c>
      <c r="B138" s="247">
        <f>B81+B88+B95+B101+B108+B115+B122+B129+B136</f>
        <v>1645365</v>
      </c>
      <c r="C138" s="247">
        <f>C81+C88+C95+C101+C108+C115+C122+C129+C136</f>
        <v>1742646</v>
      </c>
      <c r="D138" s="247">
        <f>D81+D88+D95+D101+D108+D115+D122+D129+D136</f>
        <v>1951117</v>
      </c>
    </row>
    <row r="139" spans="1:4" x14ac:dyDescent="0.2">
      <c r="A139" s="238" t="s">
        <v>367</v>
      </c>
      <c r="B139" s="245">
        <f>B65</f>
        <v>3155007</v>
      </c>
      <c r="C139" s="245">
        <f>C65</f>
        <v>3244687</v>
      </c>
      <c r="D139" s="245">
        <f>D65</f>
        <v>3628764</v>
      </c>
    </row>
    <row r="140" spans="1:4" ht="16.5" thickBot="1" x14ac:dyDescent="0.25">
      <c r="A140" s="238" t="s">
        <v>368</v>
      </c>
      <c r="B140" s="248">
        <f>SUM(B138:B139)</f>
        <v>4800372</v>
      </c>
      <c r="C140" s="248">
        <f>SUM(C138:C139)</f>
        <v>4987333</v>
      </c>
      <c r="D140" s="248">
        <f>SUM(D138:D139)</f>
        <v>5579881</v>
      </c>
    </row>
    <row r="141" spans="1:4" ht="16.5" thickTop="1" x14ac:dyDescent="0.2">
      <c r="A141" s="556" t="s">
        <v>369</v>
      </c>
      <c r="B141" s="51"/>
      <c r="C141" s="51"/>
      <c r="D141" s="51"/>
    </row>
    <row r="142" spans="1:4" x14ac:dyDescent="0.2">
      <c r="A142" s="564" t="s">
        <v>364</v>
      </c>
      <c r="B142" s="51" t="str">
        <f>CONCATENATE("",General!C53,"c")</f>
        <v>7c</v>
      </c>
      <c r="C142" s="51"/>
      <c r="D142" s="51"/>
    </row>
  </sheetData>
  <phoneticPr fontId="0" type="noConversion"/>
  <pageMargins left="0.5" right="0.5" top="1" bottom="0.5" header="0.5" footer="0.5"/>
  <pageSetup scale="64" orientation="portrait" blackAndWhite="1" horizontalDpi="300" verticalDpi="300" r:id="rId1"/>
  <headerFooter alignWithMargins="0">
    <oddHeader>&amp;RState of Kansas
City</oddHeader>
  </headerFooter>
  <rowBreaks count="1" manualBreakCount="1">
    <brk id="68"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B0F0"/>
    <pageSetUpPr fitToPage="1"/>
  </sheetPr>
  <dimension ref="B1:K99"/>
  <sheetViews>
    <sheetView topLeftCell="A64" zoomScaleNormal="100" workbookViewId="0">
      <selection activeCell="E66" sqref="E66"/>
    </sheetView>
  </sheetViews>
  <sheetFormatPr defaultColWidth="8.88671875" defaultRowHeight="15.75" x14ac:dyDescent="0.2"/>
  <cols>
    <col min="1" max="1" width="2.44140625" style="64" customWidth="1"/>
    <col min="2" max="2" width="31.109375" style="64" customWidth="1"/>
    <col min="3" max="4" width="15.77734375" style="64" customWidth="1"/>
    <col min="5" max="5" width="16.21875" style="64" customWidth="1"/>
    <col min="6" max="6" width="8.109375" style="64" customWidth="1"/>
    <col min="7" max="7" width="10.21875" style="64" customWidth="1"/>
    <col min="8" max="8" width="8.88671875" style="64"/>
    <col min="9" max="9" width="5.6640625" style="64" customWidth="1"/>
    <col min="10" max="10" width="10" style="64" customWidth="1"/>
    <col min="11" max="16384" width="8.88671875" style="64"/>
  </cols>
  <sheetData>
    <row r="1" spans="2:10" x14ac:dyDescent="0.2">
      <c r="B1" s="51" t="str">
        <f>inputPrYr!D4</f>
        <v>Cloud County</v>
      </c>
      <c r="C1" s="33"/>
      <c r="D1" s="33"/>
      <c r="E1" s="145">
        <f>inputPrYr!$C$6</f>
        <v>2026</v>
      </c>
    </row>
    <row r="2" spans="2:10" x14ac:dyDescent="0.2">
      <c r="B2" s="33"/>
      <c r="C2" s="33"/>
      <c r="D2" s="33"/>
      <c r="E2" s="62"/>
    </row>
    <row r="3" spans="2:10" x14ac:dyDescent="0.2">
      <c r="B3" s="319" t="s">
        <v>319</v>
      </c>
      <c r="C3" s="53"/>
      <c r="D3" s="53"/>
      <c r="E3" s="177"/>
    </row>
    <row r="4" spans="2:10" x14ac:dyDescent="0.2">
      <c r="B4" s="557" t="s">
        <v>320</v>
      </c>
      <c r="C4" s="149" t="s">
        <v>321</v>
      </c>
      <c r="D4" s="150" t="s">
        <v>268</v>
      </c>
      <c r="E4" s="43" t="s">
        <v>323</v>
      </c>
    </row>
    <row r="5" spans="2:10" x14ac:dyDescent="0.2">
      <c r="B5" s="270" t="str">
        <f>inputPrYr!B18</f>
        <v>Debt Service</v>
      </c>
      <c r="C5" s="563" t="str">
        <f>CONCATENATE("Actual for ",E1-2,"")</f>
        <v>Actual for 2024</v>
      </c>
      <c r="D5" s="563" t="str">
        <f>CONCATENATE("Estimate for ",E1-1,"")</f>
        <v>Estimate for 2025</v>
      </c>
      <c r="E5" s="151" t="str">
        <f>CONCATENATE("Year for ",E1,"")</f>
        <v>Year for 2026</v>
      </c>
    </row>
    <row r="6" spans="2:10" x14ac:dyDescent="0.2">
      <c r="B6" s="560" t="s">
        <v>324</v>
      </c>
      <c r="C6" s="256">
        <v>131242</v>
      </c>
      <c r="D6" s="260">
        <f>C42</f>
        <v>218903</v>
      </c>
      <c r="E6" s="178">
        <f>D42</f>
        <v>248698</v>
      </c>
    </row>
    <row r="7" spans="2:10" x14ac:dyDescent="0.2">
      <c r="B7" s="155" t="s">
        <v>325</v>
      </c>
      <c r="C7" s="259"/>
      <c r="D7" s="260"/>
      <c r="E7" s="178"/>
    </row>
    <row r="8" spans="2:10" x14ac:dyDescent="0.2">
      <c r="B8" s="560" t="s">
        <v>326</v>
      </c>
      <c r="C8" s="584">
        <v>194463</v>
      </c>
      <c r="D8" s="259">
        <f>IF(inputPrYr!H16&gt;0,inputPrYr!G18,inputPrYr!E18)</f>
        <v>159822</v>
      </c>
      <c r="E8" s="175" t="s">
        <v>179</v>
      </c>
    </row>
    <row r="9" spans="2:10" x14ac:dyDescent="0.2">
      <c r="B9" s="560" t="s">
        <v>327</v>
      </c>
      <c r="C9" s="584">
        <v>2138</v>
      </c>
      <c r="D9" s="256">
        <v>1599</v>
      </c>
      <c r="E9" s="179"/>
    </row>
    <row r="10" spans="2:10" x14ac:dyDescent="0.2">
      <c r="B10" s="560" t="s">
        <v>328</v>
      </c>
      <c r="C10" s="584">
        <v>21433</v>
      </c>
      <c r="D10" s="256">
        <v>19500</v>
      </c>
      <c r="E10" s="180">
        <f>Mvalloc!D8</f>
        <v>18218</v>
      </c>
    </row>
    <row r="11" spans="2:10" x14ac:dyDescent="0.2">
      <c r="B11" s="560" t="s">
        <v>329</v>
      </c>
      <c r="C11" s="584">
        <v>293</v>
      </c>
      <c r="D11" s="256">
        <v>250</v>
      </c>
      <c r="E11" s="180">
        <f>Mvalloc!E8</f>
        <v>242</v>
      </c>
      <c r="G11" s="682" t="str">
        <f>CONCATENATE("Desired Carryover Into ",E1+1,"")</f>
        <v>Desired Carryover Into 2027</v>
      </c>
      <c r="H11" s="668"/>
      <c r="I11" s="668"/>
      <c r="J11" s="669"/>
    </row>
    <row r="12" spans="2:10" x14ac:dyDescent="0.2">
      <c r="B12" s="571" t="s">
        <v>330</v>
      </c>
      <c r="C12" s="584">
        <v>87</v>
      </c>
      <c r="D12" s="256">
        <v>164</v>
      </c>
      <c r="E12" s="180">
        <f>Mvalloc!F8</f>
        <v>109</v>
      </c>
      <c r="G12" s="323"/>
      <c r="H12" s="324"/>
      <c r="I12" s="325"/>
      <c r="J12" s="326"/>
    </row>
    <row r="13" spans="2:10" x14ac:dyDescent="0.2">
      <c r="B13" s="571" t="s">
        <v>331</v>
      </c>
      <c r="C13" s="584">
        <f>1133+473</f>
        <v>1606</v>
      </c>
      <c r="D13" s="256">
        <v>1150</v>
      </c>
      <c r="E13" s="180">
        <f>Mvalloc!G8</f>
        <v>1228</v>
      </c>
      <c r="G13" s="327" t="s">
        <v>345</v>
      </c>
      <c r="H13" s="325"/>
      <c r="I13" s="325"/>
      <c r="J13" s="328">
        <v>0</v>
      </c>
    </row>
    <row r="14" spans="2:10" x14ac:dyDescent="0.2">
      <c r="B14" s="571" t="s">
        <v>332</v>
      </c>
      <c r="C14" s="584">
        <v>0</v>
      </c>
      <c r="D14" s="256">
        <v>0</v>
      </c>
      <c r="E14" s="180">
        <f>Mvalloc!H8</f>
        <v>86</v>
      </c>
      <c r="G14" s="323" t="s">
        <v>346</v>
      </c>
      <c r="H14" s="324"/>
      <c r="I14" s="324"/>
      <c r="J14" s="329" t="str">
        <f>IF(J13=0,"",ROUND((J13+E48-G29)/#REF!*1000,3)-G39)</f>
        <v/>
      </c>
    </row>
    <row r="15" spans="2:10" x14ac:dyDescent="0.2">
      <c r="B15" s="582" t="s">
        <v>792</v>
      </c>
      <c r="C15" s="584">
        <v>1239</v>
      </c>
      <c r="D15" s="256">
        <v>0</v>
      </c>
      <c r="E15" s="179">
        <v>0</v>
      </c>
      <c r="G15" s="330" t="str">
        <f>CONCATENATE("",E1," Tot Exp/Non-Appr Must Be:")</f>
        <v>2026 Tot Exp/Non-Appr Must Be:</v>
      </c>
      <c r="H15" s="331"/>
      <c r="I15" s="332"/>
      <c r="J15" s="333">
        <f>IF(J13&gt;0,IF(E45&lt;E26,IF(J13=G29,E45,((J13-G29)*(1-D47))+E26),E45+(J13-G29)),0)</f>
        <v>0</v>
      </c>
    </row>
    <row r="16" spans="2:10" x14ac:dyDescent="0.2">
      <c r="B16" s="582" t="s">
        <v>791</v>
      </c>
      <c r="C16" s="584">
        <v>12</v>
      </c>
      <c r="D16" s="256">
        <v>9</v>
      </c>
      <c r="E16" s="179">
        <v>9</v>
      </c>
      <c r="G16" s="334" t="s">
        <v>370</v>
      </c>
      <c r="H16" s="335"/>
      <c r="I16" s="335"/>
      <c r="J16" s="336">
        <f>IF(J13&gt;0,J15-E45,0)</f>
        <v>0</v>
      </c>
    </row>
    <row r="17" spans="2:11" x14ac:dyDescent="0.2">
      <c r="B17" s="582" t="s">
        <v>840</v>
      </c>
      <c r="C17" s="584">
        <v>190463</v>
      </c>
      <c r="D17" s="256">
        <v>191113</v>
      </c>
      <c r="E17" s="179">
        <v>191613</v>
      </c>
    </row>
    <row r="18" spans="2:11" x14ac:dyDescent="0.2">
      <c r="B18" s="582" t="s">
        <v>841</v>
      </c>
      <c r="C18" s="584">
        <v>183012</v>
      </c>
      <c r="D18" s="256">
        <v>184863</v>
      </c>
      <c r="E18" s="179">
        <v>181562</v>
      </c>
    </row>
    <row r="19" spans="2:11" x14ac:dyDescent="0.2">
      <c r="B19" s="582" t="s">
        <v>842</v>
      </c>
      <c r="C19" s="584">
        <v>60238</v>
      </c>
      <c r="D19" s="256">
        <v>59050</v>
      </c>
      <c r="E19" s="179">
        <v>57550</v>
      </c>
    </row>
    <row r="20" spans="2:11" x14ac:dyDescent="0.2">
      <c r="B20" s="582" t="s">
        <v>903</v>
      </c>
      <c r="C20" s="584">
        <v>0</v>
      </c>
      <c r="D20" s="256">
        <v>0</v>
      </c>
      <c r="E20" s="179">
        <v>3418</v>
      </c>
    </row>
    <row r="21" spans="2:11" x14ac:dyDescent="0.2">
      <c r="B21" s="583" t="s">
        <v>336</v>
      </c>
      <c r="C21" s="584">
        <v>13081</v>
      </c>
      <c r="D21" s="256">
        <v>5000</v>
      </c>
      <c r="E21" s="179">
        <v>5000</v>
      </c>
    </row>
    <row r="22" spans="2:11" x14ac:dyDescent="0.2">
      <c r="B22" s="166" t="s">
        <v>337</v>
      </c>
      <c r="C22" s="256"/>
      <c r="D22" s="256"/>
      <c r="E22" s="337"/>
      <c r="G22" s="683" t="str">
        <f>CONCATENATE("Projected Carryover Into ",E1+1,"")</f>
        <v>Projected Carryover Into 2027</v>
      </c>
      <c r="H22" s="684"/>
      <c r="I22" s="684"/>
      <c r="J22" s="669"/>
    </row>
    <row r="23" spans="2:11" x14ac:dyDescent="0.2">
      <c r="B23" s="166" t="s">
        <v>338</v>
      </c>
      <c r="C23" s="256"/>
      <c r="D23" s="256"/>
      <c r="E23" s="179"/>
      <c r="G23" s="338"/>
      <c r="H23" s="339"/>
      <c r="I23" s="339"/>
      <c r="J23" s="340"/>
    </row>
    <row r="24" spans="2:11" x14ac:dyDescent="0.2">
      <c r="B24" s="166" t="s">
        <v>339</v>
      </c>
      <c r="C24" s="320" t="str">
        <f>IF(C25*0.1&lt;C23,"Exceed 10% Rule","")</f>
        <v/>
      </c>
      <c r="D24" s="320" t="str">
        <f>IF(D25*0.1&lt;D23,"Exceed 10% Rule","")</f>
        <v/>
      </c>
      <c r="E24" s="321" t="str">
        <f>IF(E25*0.1+E48&lt;E23,"Exceed 10% Rule","")</f>
        <v/>
      </c>
      <c r="G24" s="419">
        <f>D42</f>
        <v>248698</v>
      </c>
      <c r="H24" s="418" t="str">
        <f>CONCATENATE("",E1-1," Ending Cash Balance (est.)")</f>
        <v>2025 Ending Cash Balance (est.)</v>
      </c>
      <c r="I24" s="341"/>
      <c r="J24" s="340"/>
    </row>
    <row r="25" spans="2:11" x14ac:dyDescent="0.2">
      <c r="B25" s="162" t="s">
        <v>340</v>
      </c>
      <c r="C25" s="322">
        <f>SUM(C8:C23)</f>
        <v>668065</v>
      </c>
      <c r="D25" s="257">
        <f>SUM(D8:D23)</f>
        <v>622520</v>
      </c>
      <c r="E25" s="181">
        <f>SUM(E8:E23)</f>
        <v>459035</v>
      </c>
      <c r="G25" s="419">
        <f>E25</f>
        <v>459035</v>
      </c>
      <c r="H25" s="416" t="str">
        <f>CONCATENATE("",E1," Non-AV Receipts (est.)")</f>
        <v>2026 Non-AV Receipts (est.)</v>
      </c>
      <c r="I25" s="339"/>
      <c r="J25" s="340"/>
    </row>
    <row r="26" spans="2:11" x14ac:dyDescent="0.2">
      <c r="B26" s="162" t="s">
        <v>341</v>
      </c>
      <c r="C26" s="257">
        <f>C6+C25</f>
        <v>799307</v>
      </c>
      <c r="D26" s="257">
        <f>D6+D25</f>
        <v>841423</v>
      </c>
      <c r="E26" s="181">
        <f>E6+E25</f>
        <v>707733</v>
      </c>
      <c r="G26" s="420">
        <f>IF(E47&gt;0,E46,E48)</f>
        <v>167030</v>
      </c>
      <c r="H26" s="416" t="str">
        <f>CONCATENATE("",E1," Ad Valorem Tax (est.)")</f>
        <v>2026 Ad Valorem Tax (est.)</v>
      </c>
      <c r="I26" s="339"/>
      <c r="J26" s="340"/>
      <c r="K26" s="343" t="str">
        <f>IF(G26=E48,"","Note: Does not include Delinquent Taxes")</f>
        <v>Note: Does not include Delinquent Taxes</v>
      </c>
    </row>
    <row r="27" spans="2:11" x14ac:dyDescent="0.2">
      <c r="B27" s="155" t="s">
        <v>343</v>
      </c>
      <c r="C27" s="259"/>
      <c r="D27" s="259"/>
      <c r="E27" s="180"/>
      <c r="G27" s="419">
        <f>SUM(G24:G26)</f>
        <v>874763</v>
      </c>
      <c r="H27" s="416" t="str">
        <f>CONCATENATE("Total ",E1," Resources Available")</f>
        <v>Total 2026 Resources Available</v>
      </c>
      <c r="I27" s="341"/>
      <c r="J27" s="340"/>
    </row>
    <row r="28" spans="2:11" x14ac:dyDescent="0.2">
      <c r="B28" s="585" t="s">
        <v>784</v>
      </c>
      <c r="C28" s="586">
        <v>130000</v>
      </c>
      <c r="D28" s="586">
        <v>135000</v>
      </c>
      <c r="E28" s="586">
        <v>140000</v>
      </c>
      <c r="G28" s="421"/>
      <c r="H28" s="342"/>
      <c r="I28" s="339"/>
      <c r="J28" s="340"/>
    </row>
    <row r="29" spans="2:11" x14ac:dyDescent="0.2">
      <c r="B29" s="585" t="s">
        <v>786</v>
      </c>
      <c r="C29" s="586">
        <v>145000</v>
      </c>
      <c r="D29" s="586">
        <v>150000</v>
      </c>
      <c r="E29" s="586">
        <v>155000</v>
      </c>
      <c r="G29" s="422" t="e">
        <f>SUM(G27-#REF!)</f>
        <v>#REF!</v>
      </c>
      <c r="H29" s="417" t="str">
        <f>CONCATENATE("Projected ",E1+1," carryover (est.)")</f>
        <v>Projected 2027 carryover (est.)</v>
      </c>
      <c r="I29" s="345"/>
      <c r="J29" s="346"/>
    </row>
    <row r="30" spans="2:11" x14ac:dyDescent="0.2">
      <c r="B30" s="585" t="s">
        <v>787</v>
      </c>
      <c r="C30" s="586">
        <v>105000</v>
      </c>
      <c r="D30" s="586">
        <v>110000</v>
      </c>
      <c r="E30" s="586">
        <v>110000</v>
      </c>
    </row>
    <row r="31" spans="2:11" x14ac:dyDescent="0.2">
      <c r="B31" s="585" t="s">
        <v>843</v>
      </c>
      <c r="C31" s="586">
        <v>27888</v>
      </c>
      <c r="D31" s="586">
        <v>24800</v>
      </c>
      <c r="E31" s="586">
        <v>20750</v>
      </c>
    </row>
    <row r="32" spans="2:11" x14ac:dyDescent="0.2">
      <c r="B32" s="585" t="s">
        <v>844</v>
      </c>
      <c r="C32" s="586">
        <v>45463</v>
      </c>
      <c r="D32" s="586">
        <v>41113</v>
      </c>
      <c r="E32" s="586">
        <v>36613</v>
      </c>
    </row>
    <row r="33" spans="2:10" x14ac:dyDescent="0.2">
      <c r="B33" s="585" t="s">
        <v>845</v>
      </c>
      <c r="C33" s="586">
        <v>78013</v>
      </c>
      <c r="D33" s="586">
        <v>74862</v>
      </c>
      <c r="E33" s="586">
        <v>71562</v>
      </c>
    </row>
    <row r="34" spans="2:10" x14ac:dyDescent="0.2">
      <c r="B34" s="585" t="s">
        <v>846</v>
      </c>
      <c r="C34" s="587">
        <v>49040</v>
      </c>
      <c r="D34" s="588">
        <v>56950</v>
      </c>
      <c r="E34" s="586">
        <v>0</v>
      </c>
    </row>
    <row r="35" spans="2:10" x14ac:dyDescent="0.2">
      <c r="B35" s="582" t="s">
        <v>904</v>
      </c>
      <c r="C35" s="256"/>
      <c r="D35" s="256"/>
      <c r="E35" s="179">
        <v>107952</v>
      </c>
    </row>
    <row r="36" spans="2:10" x14ac:dyDescent="0.2">
      <c r="B36" s="582" t="s">
        <v>895</v>
      </c>
      <c r="C36" s="256"/>
      <c r="D36" s="256"/>
      <c r="E36" s="179">
        <v>94136</v>
      </c>
      <c r="G36" s="670" t="s">
        <v>348</v>
      </c>
      <c r="H36" s="671"/>
      <c r="I36" s="671"/>
      <c r="J36" s="672"/>
    </row>
    <row r="37" spans="2:10" x14ac:dyDescent="0.2">
      <c r="B37" s="582" t="s">
        <v>847</v>
      </c>
      <c r="C37" s="256"/>
      <c r="D37" s="256"/>
      <c r="E37" s="179"/>
      <c r="G37" s="673"/>
      <c r="H37" s="674"/>
      <c r="I37" s="674"/>
      <c r="J37" s="675"/>
    </row>
    <row r="38" spans="2:10" x14ac:dyDescent="0.2">
      <c r="B38" s="166" t="str">
        <f>CONCATENATE("Cash Reserve (",E1," column)")</f>
        <v>Cash Reserve (2026 column)</v>
      </c>
      <c r="C38" s="256"/>
      <c r="D38" s="256"/>
      <c r="E38" s="179">
        <v>138750</v>
      </c>
      <c r="G38" s="351" t="e">
        <f>#REF!</f>
        <v>#REF!</v>
      </c>
      <c r="H38" s="348" t="str">
        <f>CONCATENATE("",E1," Estimated Fund Mill Rate")</f>
        <v>2026 Estimated Fund Mill Rate</v>
      </c>
      <c r="I38" s="349"/>
      <c r="J38" s="350"/>
    </row>
    <row r="39" spans="2:10" x14ac:dyDescent="0.2">
      <c r="B39" s="166" t="s">
        <v>338</v>
      </c>
      <c r="C39" s="256"/>
      <c r="D39" s="256"/>
      <c r="E39" s="179"/>
      <c r="G39" s="520" t="e">
        <f>#REF!</f>
        <v>#REF!</v>
      </c>
      <c r="H39" s="348" t="str">
        <f>CONCATENATE("",E1-1," Fund Mill Rate")</f>
        <v>2025 Fund Mill Rate</v>
      </c>
      <c r="I39" s="349"/>
      <c r="J39" s="350"/>
    </row>
    <row r="40" spans="2:10" x14ac:dyDescent="0.2">
      <c r="B40" s="166" t="s">
        <v>371</v>
      </c>
      <c r="C40" s="320" t="str">
        <f>IF(C41*0.1&lt;C39,"Exceed 10% Rule","")</f>
        <v/>
      </c>
      <c r="D40" s="320" t="str">
        <f>IF(D41*0.1&lt;D39,"Exceed 10% Rule","")</f>
        <v/>
      </c>
      <c r="E40" s="321" t="str">
        <f>IF(E41*0.1&lt;E39,"Exceed 10% Rule","")</f>
        <v/>
      </c>
      <c r="G40" s="521" t="e">
        <f>#REF!</f>
        <v>#REF!</v>
      </c>
      <c r="H40" s="522" t="s">
        <v>350</v>
      </c>
      <c r="I40" s="349"/>
      <c r="J40" s="350"/>
    </row>
    <row r="41" spans="2:10" x14ac:dyDescent="0.2">
      <c r="B41" s="162" t="s">
        <v>351</v>
      </c>
      <c r="C41" s="322">
        <f>SUM(C28:C39)</f>
        <v>580404</v>
      </c>
      <c r="D41" s="257">
        <f>SUM(D28:D39)</f>
        <v>592725</v>
      </c>
      <c r="E41" s="165">
        <f>SUM(E28:E39)</f>
        <v>874763</v>
      </c>
      <c r="G41" s="351" t="e">
        <f>#REF!</f>
        <v>#REF!</v>
      </c>
      <c r="H41" s="348" t="str">
        <f>CONCATENATE(E1," Estimated Total Mill Rate")</f>
        <v>2026 Estimated Total Mill Rate</v>
      </c>
      <c r="I41" s="349"/>
      <c r="J41" s="350"/>
    </row>
    <row r="42" spans="2:10" x14ac:dyDescent="0.2">
      <c r="B42" s="560" t="s">
        <v>352</v>
      </c>
      <c r="C42" s="258">
        <f>C26-C41</f>
        <v>218903</v>
      </c>
      <c r="D42" s="258">
        <f>D26-D41</f>
        <v>248698</v>
      </c>
      <c r="E42" s="175" t="s">
        <v>179</v>
      </c>
      <c r="G42" s="353" t="e">
        <f>#REF!</f>
        <v>#REF!</v>
      </c>
      <c r="H42" s="348" t="str">
        <f>CONCATENATE(E1-1," Total Mill Rate")</f>
        <v>2025 Total Mill Rate</v>
      </c>
      <c r="I42" s="349"/>
      <c r="J42" s="350"/>
    </row>
    <row r="43" spans="2:10" x14ac:dyDescent="0.2">
      <c r="B43" s="121" t="str">
        <f>CONCATENATE("",E1-2,"/",E1-1,"/",E1," Budget Authority Amount:")</f>
        <v>2024/2025/2026 Budget Authority Amount:</v>
      </c>
      <c r="C43" s="180">
        <f>inputOth!B65</f>
        <v>776374</v>
      </c>
      <c r="D43" s="180">
        <f>inputPrYr!D18</f>
        <v>822735</v>
      </c>
      <c r="E43" s="154">
        <f>E41</f>
        <v>874763</v>
      </c>
      <c r="G43" s="355"/>
      <c r="H43" s="324"/>
      <c r="I43" s="324"/>
      <c r="J43" s="356"/>
    </row>
    <row r="44" spans="2:10" ht="15.75" customHeight="1" x14ac:dyDescent="0.2">
      <c r="B44" s="564"/>
      <c r="C44" s="661" t="s">
        <v>353</v>
      </c>
      <c r="D44" s="662"/>
      <c r="E44" s="72"/>
      <c r="G44" s="676" t="s">
        <v>354</v>
      </c>
      <c r="H44" s="677"/>
      <c r="I44" s="677"/>
      <c r="J44" s="680" t="e">
        <f>IF(G41&gt;G40, "Yes", "No")</f>
        <v>#REF!</v>
      </c>
    </row>
    <row r="45" spans="2:10" ht="15.75" customHeight="1" x14ac:dyDescent="0.2">
      <c r="B45" s="307" t="str">
        <f>CONCATENATE(C95,"     ",D95)</f>
        <v xml:space="preserve">     </v>
      </c>
      <c r="C45" s="663" t="s">
        <v>355</v>
      </c>
      <c r="D45" s="664"/>
      <c r="E45" s="154">
        <f>E41+E44</f>
        <v>874763</v>
      </c>
      <c r="F45" s="176"/>
      <c r="G45" s="678"/>
      <c r="H45" s="679"/>
      <c r="I45" s="679"/>
      <c r="J45" s="681"/>
    </row>
    <row r="46" spans="2:10" x14ac:dyDescent="0.2">
      <c r="B46" s="307" t="str">
        <f>CONCATENATE(C96,"     ",D96)</f>
        <v xml:space="preserve">     </v>
      </c>
      <c r="C46" s="169"/>
      <c r="D46" s="62" t="s">
        <v>356</v>
      </c>
      <c r="E46" s="82">
        <f>IF(E45-E26&gt;0,E45-E26,0)</f>
        <v>167030</v>
      </c>
      <c r="F46" s="415" t="str">
        <f>IF(E41/0.95-E41&lt;E44,"Exceeds 5%","")</f>
        <v/>
      </c>
      <c r="G46" s="657" t="e">
        <f>IF(J44="Yes", "Follow procedure prescribed by KSA 79-2988 to exceed the Revenue Neutral Rate.", " ")</f>
        <v>#REF!</v>
      </c>
      <c r="H46" s="657"/>
      <c r="I46" s="657"/>
      <c r="J46" s="657"/>
    </row>
    <row r="47" spans="2:10" x14ac:dyDescent="0.2">
      <c r="B47" s="62"/>
      <c r="C47" s="565" t="s">
        <v>357</v>
      </c>
      <c r="D47" s="344">
        <f>inputOth!E51</f>
        <v>0.02</v>
      </c>
      <c r="E47" s="154">
        <f>ROUND(IF(D47&gt;0,(E46*D47),0),0)</f>
        <v>3341</v>
      </c>
      <c r="G47" s="658"/>
      <c r="H47" s="658"/>
      <c r="I47" s="658"/>
      <c r="J47" s="658"/>
    </row>
    <row r="48" spans="2:10" ht="16.5" thickBot="1" x14ac:dyDescent="0.25">
      <c r="B48" s="33"/>
      <c r="C48" s="659" t="str">
        <f>CONCATENATE("Amount of  ",$E$1-1," Ad Valorem Tax")</f>
        <v>Amount of  2025 Ad Valorem Tax</v>
      </c>
      <c r="D48" s="660"/>
      <c r="E48" s="347">
        <f>E46+E47</f>
        <v>170371</v>
      </c>
      <c r="G48" s="658"/>
      <c r="H48" s="658"/>
      <c r="I48" s="658"/>
      <c r="J48" s="658"/>
    </row>
    <row r="49" spans="2:10" ht="16.5" thickTop="1" x14ac:dyDescent="0.2">
      <c r="B49" s="33"/>
      <c r="C49" s="564"/>
      <c r="D49" s="33"/>
      <c r="E49" s="33"/>
    </row>
    <row r="50" spans="2:10" x14ac:dyDescent="0.2">
      <c r="B50" s="557"/>
      <c r="C50" s="37"/>
      <c r="D50" s="37"/>
      <c r="E50" s="37"/>
    </row>
    <row r="51" spans="2:10" x14ac:dyDescent="0.2">
      <c r="B51" s="557" t="s">
        <v>320</v>
      </c>
      <c r="C51" s="149" t="s">
        <v>321</v>
      </c>
      <c r="D51" s="150" t="s">
        <v>322</v>
      </c>
      <c r="E51" s="43" t="s">
        <v>323</v>
      </c>
    </row>
    <row r="52" spans="2:10" x14ac:dyDescent="0.2">
      <c r="B52" s="352" t="str">
        <f>inputPrYr!B19</f>
        <v>Library</v>
      </c>
      <c r="C52" s="563" t="str">
        <f>C5</f>
        <v>Actual for 2024</v>
      </c>
      <c r="D52" s="563" t="str">
        <f>D5</f>
        <v>Estimate for 2025</v>
      </c>
      <c r="E52" s="151" t="str">
        <f>E5</f>
        <v>Year for 2026</v>
      </c>
    </row>
    <row r="53" spans="2:10" x14ac:dyDescent="0.2">
      <c r="B53" s="571" t="s">
        <v>324</v>
      </c>
      <c r="C53" s="152">
        <v>927</v>
      </c>
      <c r="D53" s="153">
        <f>C77</f>
        <v>437</v>
      </c>
      <c r="E53" s="154">
        <f>D77</f>
        <v>1800</v>
      </c>
    </row>
    <row r="54" spans="2:10" x14ac:dyDescent="0.2">
      <c r="B54" s="571" t="s">
        <v>325</v>
      </c>
      <c r="C54" s="117"/>
      <c r="D54" s="117"/>
      <c r="E54" s="47"/>
    </row>
    <row r="55" spans="2:10" x14ac:dyDescent="0.2">
      <c r="B55" s="560" t="s">
        <v>326</v>
      </c>
      <c r="C55" s="584">
        <v>167343</v>
      </c>
      <c r="D55" s="153">
        <f>IF(inputPrYr!H16&gt;0,inputPrYr!G19,inputPrYr!E19)</f>
        <v>174951</v>
      </c>
      <c r="E55" s="175" t="s">
        <v>179</v>
      </c>
    </row>
    <row r="56" spans="2:10" x14ac:dyDescent="0.2">
      <c r="B56" s="560" t="s">
        <v>327</v>
      </c>
      <c r="C56" s="584">
        <v>1793</v>
      </c>
      <c r="D56" s="152">
        <v>0</v>
      </c>
      <c r="E56" s="72">
        <v>0</v>
      </c>
    </row>
    <row r="57" spans="2:10" x14ac:dyDescent="0.2">
      <c r="B57" s="560" t="s">
        <v>328</v>
      </c>
      <c r="C57" s="584">
        <v>20686</v>
      </c>
      <c r="D57" s="152">
        <v>19000</v>
      </c>
      <c r="E57" s="154">
        <f>Mvalloc!D9</f>
        <v>19943</v>
      </c>
    </row>
    <row r="58" spans="2:10" x14ac:dyDescent="0.2">
      <c r="B58" s="560" t="s">
        <v>329</v>
      </c>
      <c r="C58" s="584">
        <v>294</v>
      </c>
      <c r="D58" s="152">
        <v>265</v>
      </c>
      <c r="E58" s="154">
        <f>Mvalloc!E9</f>
        <v>265</v>
      </c>
      <c r="G58" s="682" t="str">
        <f>CONCATENATE("Desired Carryover Into ",E1+1,"")</f>
        <v>Desired Carryover Into 2027</v>
      </c>
      <c r="H58" s="668"/>
      <c r="I58" s="668"/>
      <c r="J58" s="669"/>
    </row>
    <row r="59" spans="2:10" x14ac:dyDescent="0.2">
      <c r="B59" s="117" t="s">
        <v>330</v>
      </c>
      <c r="C59" s="584">
        <v>135</v>
      </c>
      <c r="D59" s="152">
        <v>147</v>
      </c>
      <c r="E59" s="154">
        <f>Mvalloc!F9</f>
        <v>119</v>
      </c>
      <c r="G59" s="323"/>
      <c r="H59" s="324"/>
      <c r="I59" s="325"/>
      <c r="J59" s="326"/>
    </row>
    <row r="60" spans="2:10" x14ac:dyDescent="0.2">
      <c r="B60" s="571" t="s">
        <v>331</v>
      </c>
      <c r="C60" s="584">
        <f>1024+424</f>
        <v>1448</v>
      </c>
      <c r="D60" s="152">
        <v>1200</v>
      </c>
      <c r="E60" s="154">
        <f>Mvalloc!G9</f>
        <v>1345</v>
      </c>
      <c r="G60" s="327" t="s">
        <v>345</v>
      </c>
      <c r="H60" s="325"/>
      <c r="I60" s="325"/>
      <c r="J60" s="328">
        <v>0</v>
      </c>
    </row>
    <row r="61" spans="2:10" x14ac:dyDescent="0.2">
      <c r="B61" s="571" t="s">
        <v>332</v>
      </c>
      <c r="C61" s="584"/>
      <c r="D61" s="152"/>
      <c r="E61" s="154">
        <f>Mvalloc!H9</f>
        <v>95</v>
      </c>
      <c r="G61" s="323" t="s">
        <v>346</v>
      </c>
      <c r="H61" s="324"/>
      <c r="I61" s="324"/>
      <c r="J61" s="354" t="str">
        <f>IF(J60=0,"",ROUND((J60+E83-G72)/#REF!*1000,3)-G77)</f>
        <v/>
      </c>
    </row>
    <row r="62" spans="2:10" x14ac:dyDescent="0.2">
      <c r="B62" s="586" t="s">
        <v>848</v>
      </c>
      <c r="C62" s="584">
        <v>13</v>
      </c>
      <c r="D62" s="152">
        <v>10</v>
      </c>
      <c r="E62" s="72">
        <v>10</v>
      </c>
      <c r="G62" s="330" t="str">
        <f>CONCATENATE("",E1," Tot Exp/Non-Appr Must Be:")</f>
        <v>2026 Tot Exp/Non-Appr Must Be:</v>
      </c>
      <c r="H62" s="331"/>
      <c r="I62" s="332"/>
      <c r="J62" s="333">
        <f>IF(J60&gt;0,IF(E80&lt;E70,IF(J60=G72,E80,((J60-G72)*(1-D82))+E70),E80+(J60-G72)),0)</f>
        <v>0</v>
      </c>
    </row>
    <row r="63" spans="2:10" x14ac:dyDescent="0.2">
      <c r="B63" s="156"/>
      <c r="C63" s="152"/>
      <c r="D63" s="152"/>
      <c r="E63" s="72"/>
      <c r="G63" s="334" t="s">
        <v>370</v>
      </c>
      <c r="H63" s="335"/>
      <c r="I63" s="335"/>
      <c r="J63" s="336">
        <f>IF(J60&gt;0,J62-E80,0)</f>
        <v>0</v>
      </c>
    </row>
    <row r="64" spans="2:10" x14ac:dyDescent="0.2">
      <c r="B64" s="156"/>
      <c r="C64" s="152"/>
      <c r="D64" s="152"/>
      <c r="E64" s="72"/>
      <c r="G64" s="682" t="str">
        <f>CONCATENATE("Projected Carryover Into ",E1+1,"")</f>
        <v>Projected Carryover Into 2027</v>
      </c>
      <c r="H64" s="685"/>
      <c r="I64" s="685"/>
      <c r="J64" s="686"/>
    </row>
    <row r="65" spans="2:11" x14ac:dyDescent="0.2">
      <c r="B65" s="171" t="s">
        <v>336</v>
      </c>
      <c r="C65" s="152"/>
      <c r="D65" s="152"/>
      <c r="E65" s="72"/>
      <c r="G65" s="355"/>
      <c r="H65" s="324"/>
      <c r="I65" s="324"/>
      <c r="J65" s="356"/>
    </row>
    <row r="66" spans="2:11" x14ac:dyDescent="0.2">
      <c r="B66" s="166" t="s">
        <v>337</v>
      </c>
      <c r="C66" s="152"/>
      <c r="D66" s="152"/>
      <c r="E66" s="337"/>
      <c r="G66" s="358">
        <f>D77</f>
        <v>1800</v>
      </c>
      <c r="H66" s="348" t="str">
        <f>CONCATENATE("",E1-1," Ending Cash Balance (est.)")</f>
        <v>2025 Ending Cash Balance (est.)</v>
      </c>
      <c r="I66" s="359"/>
      <c r="J66" s="356"/>
    </row>
    <row r="67" spans="2:11" x14ac:dyDescent="0.2">
      <c r="B67" s="166" t="s">
        <v>338</v>
      </c>
      <c r="C67" s="152"/>
      <c r="D67" s="152"/>
      <c r="E67" s="72"/>
      <c r="G67" s="358">
        <f>E69</f>
        <v>21777</v>
      </c>
      <c r="H67" s="325" t="str">
        <f>CONCATENATE("",E1," Non-AV Receipts (est.)")</f>
        <v>2026 Non-AV Receipts (est.)</v>
      </c>
      <c r="I67" s="359"/>
      <c r="J67" s="356"/>
    </row>
    <row r="68" spans="2:11" x14ac:dyDescent="0.2">
      <c r="B68" s="166" t="s">
        <v>339</v>
      </c>
      <c r="C68" s="320" t="str">
        <f>IF(C69*0.1&lt;C67,"Exceed 10% Rule","")</f>
        <v/>
      </c>
      <c r="D68" s="320" t="str">
        <f>IF(D69*0.1&lt;D67,"Exceed 10% Rule","")</f>
        <v/>
      </c>
      <c r="E68" s="321" t="str">
        <f>IF(E69*0.1+E83&lt;E67,"Exceed 10% Rule","")</f>
        <v/>
      </c>
      <c r="G68" s="360">
        <f>IF(D82&gt;0,E81,E83)</f>
        <v>179899</v>
      </c>
      <c r="H68" s="325" t="str">
        <f>CONCATENATE("",E1," Ad Valorem Tax (est.)")</f>
        <v>2026 Ad Valorem Tax (est.)</v>
      </c>
      <c r="I68" s="359"/>
      <c r="J68" s="356"/>
      <c r="K68" s="343" t="str">
        <f>IF(G68=E83,"","Note: Does not include Delinquent Taxes")</f>
        <v>Note: Does not include Delinquent Taxes</v>
      </c>
    </row>
    <row r="69" spans="2:11" x14ac:dyDescent="0.2">
      <c r="B69" s="162" t="s">
        <v>340</v>
      </c>
      <c r="C69" s="164">
        <f>SUM(C55:C67)</f>
        <v>191712</v>
      </c>
      <c r="D69" s="164">
        <f>SUM(D55:D67)</f>
        <v>195573</v>
      </c>
      <c r="E69" s="165">
        <f>SUM(E55:E67)</f>
        <v>21777</v>
      </c>
      <c r="G69" s="361">
        <f>SUM(G66:G68)</f>
        <v>203476</v>
      </c>
      <c r="H69" s="325" t="str">
        <f>CONCATENATE("Total ",E1," Resources Available")</f>
        <v>Total 2026 Resources Available</v>
      </c>
      <c r="I69" s="356"/>
      <c r="J69" s="356"/>
    </row>
    <row r="70" spans="2:11" x14ac:dyDescent="0.2">
      <c r="B70" s="162" t="s">
        <v>341</v>
      </c>
      <c r="C70" s="164">
        <f>C53+C69</f>
        <v>192639</v>
      </c>
      <c r="D70" s="164">
        <f>D53+D69</f>
        <v>196010</v>
      </c>
      <c r="E70" s="165">
        <f>E53+E69</f>
        <v>23577</v>
      </c>
      <c r="G70" s="362"/>
      <c r="H70" s="363"/>
      <c r="I70" s="324"/>
      <c r="J70" s="356"/>
    </row>
    <row r="71" spans="2:11" x14ac:dyDescent="0.2">
      <c r="B71" s="560" t="s">
        <v>343</v>
      </c>
      <c r="C71" s="166"/>
      <c r="D71" s="166"/>
      <c r="E71" s="49"/>
      <c r="G71" s="364">
        <f>ROUND(C76*0.05+C76,0)</f>
        <v>201812</v>
      </c>
      <c r="H71" s="363" t="str">
        <f>CONCATENATE("Less ",E1-2," Expenditures + 5%")</f>
        <v>Less 2024 Expenditures + 5%</v>
      </c>
      <c r="I71" s="356"/>
      <c r="J71" s="356"/>
    </row>
    <row r="72" spans="2:11" x14ac:dyDescent="0.25">
      <c r="B72" s="582" t="s">
        <v>849</v>
      </c>
      <c r="C72" s="584">
        <v>192202</v>
      </c>
      <c r="D72" s="152">
        <v>194210</v>
      </c>
      <c r="E72" s="72">
        <v>203476</v>
      </c>
      <c r="G72" s="365">
        <f>G69-G71</f>
        <v>1664</v>
      </c>
      <c r="H72" s="366" t="str">
        <f>CONCATENATE("Projected ",E1+1," carryover (est.)")</f>
        <v>Projected 2027 carryover (est.)</v>
      </c>
      <c r="I72" s="367"/>
      <c r="J72" s="368"/>
    </row>
    <row r="73" spans="2:11" x14ac:dyDescent="0.2">
      <c r="B73" s="156"/>
      <c r="C73" s="152"/>
      <c r="D73" s="152"/>
      <c r="E73" s="72"/>
    </row>
    <row r="74" spans="2:11" x14ac:dyDescent="0.2">
      <c r="B74" s="166" t="s">
        <v>338</v>
      </c>
      <c r="C74" s="152"/>
      <c r="D74" s="152"/>
      <c r="E74" s="72"/>
      <c r="G74" s="670" t="s">
        <v>348</v>
      </c>
      <c r="H74" s="671"/>
      <c r="I74" s="671"/>
      <c r="J74" s="672"/>
    </row>
    <row r="75" spans="2:11" x14ac:dyDescent="0.2">
      <c r="B75" s="166" t="s">
        <v>349</v>
      </c>
      <c r="C75" s="320" t="str">
        <f>IF(C76*0.1&lt;C74,"Exceed 10% Rule","")</f>
        <v/>
      </c>
      <c r="D75" s="320" t="str">
        <f>IF(D76*0.1&lt;D74,"Exceed 10% Rule","")</f>
        <v/>
      </c>
      <c r="E75" s="321" t="str">
        <f>IF(E76*0.1&lt;E74,"Exceed 10% Rule","")</f>
        <v/>
      </c>
      <c r="G75" s="673"/>
      <c r="H75" s="674"/>
      <c r="I75" s="674"/>
      <c r="J75" s="675"/>
    </row>
    <row r="76" spans="2:11" x14ac:dyDescent="0.2">
      <c r="B76" s="357" t="s">
        <v>351</v>
      </c>
      <c r="C76" s="164">
        <f>SUM(C72:C74)</f>
        <v>192202</v>
      </c>
      <c r="D76" s="164">
        <f>SUM(D72:D74)</f>
        <v>194210</v>
      </c>
      <c r="E76" s="165">
        <f>SUM(E72:E74)</f>
        <v>203476</v>
      </c>
      <c r="G76" s="351" t="e">
        <f>#REF!</f>
        <v>#REF!</v>
      </c>
      <c r="H76" s="348" t="str">
        <f>CONCATENATE("",E1," Estimated Fund Mill Rate")</f>
        <v>2026 Estimated Fund Mill Rate</v>
      </c>
      <c r="I76" s="349"/>
      <c r="J76" s="350"/>
    </row>
    <row r="77" spans="2:11" x14ac:dyDescent="0.2">
      <c r="B77" s="560" t="s">
        <v>352</v>
      </c>
      <c r="C77" s="168">
        <f>C70-C76</f>
        <v>437</v>
      </c>
      <c r="D77" s="168">
        <f>D70-D76</f>
        <v>1800</v>
      </c>
      <c r="E77" s="175" t="s">
        <v>179</v>
      </c>
      <c r="G77" s="520" t="e">
        <f>#REF!</f>
        <v>#REF!</v>
      </c>
      <c r="H77" s="348" t="str">
        <f>CONCATENATE("",E1-1," Fund Mill Rate")</f>
        <v>2025 Fund Mill Rate</v>
      </c>
      <c r="I77" s="349"/>
      <c r="J77" s="350"/>
    </row>
    <row r="78" spans="2:11" x14ac:dyDescent="0.2">
      <c r="B78" s="121" t="str">
        <f>CONCATENATE("",E1-2,"/",E1-1,"/",E1," Budget Authority Amount:")</f>
        <v>2024/2025/2026 Budget Authority Amount:</v>
      </c>
      <c r="C78" s="180">
        <f>inputOth!B66</f>
        <v>192202</v>
      </c>
      <c r="D78" s="180">
        <f>inputPrYr!D19</f>
        <v>194210</v>
      </c>
      <c r="E78" s="154">
        <f>E76</f>
        <v>203476</v>
      </c>
      <c r="G78" s="521" t="e">
        <f>#REF!</f>
        <v>#REF!</v>
      </c>
      <c r="H78" s="522" t="s">
        <v>350</v>
      </c>
      <c r="I78" s="349"/>
      <c r="J78" s="350"/>
    </row>
    <row r="79" spans="2:11" ht="15.75" customHeight="1" x14ac:dyDescent="0.2">
      <c r="B79" s="564"/>
      <c r="C79" s="661" t="s">
        <v>353</v>
      </c>
      <c r="D79" s="662"/>
      <c r="E79" s="72"/>
      <c r="G79" s="351" t="e">
        <f>#REF!</f>
        <v>#REF!</v>
      </c>
      <c r="H79" s="348" t="str">
        <f>CONCATENATE(E1," Estimated Total Mill Rate")</f>
        <v>2026 Estimated Total Mill Rate</v>
      </c>
      <c r="I79" s="349"/>
      <c r="J79" s="350"/>
    </row>
    <row r="80" spans="2:11" ht="15.75" customHeight="1" x14ac:dyDescent="0.2">
      <c r="B80" s="307" t="str">
        <f>CONCATENATE(C97,"     ",D97)</f>
        <v xml:space="preserve">     </v>
      </c>
      <c r="C80" s="663" t="s">
        <v>355</v>
      </c>
      <c r="D80" s="664"/>
      <c r="E80" s="154">
        <f>E76+E79</f>
        <v>203476</v>
      </c>
      <c r="G80" s="353" t="e">
        <f>#REF!</f>
        <v>#REF!</v>
      </c>
      <c r="H80" s="348" t="str">
        <f>CONCATENATE(E1-1," Total Mill Rate")</f>
        <v>2025 Total Mill Rate</v>
      </c>
      <c r="I80" s="349"/>
      <c r="J80" s="350"/>
    </row>
    <row r="81" spans="2:10" ht="15.75" customHeight="1" x14ac:dyDescent="0.2">
      <c r="B81" s="307" t="str">
        <f>CONCATENATE(C98,"     ",D98)</f>
        <v xml:space="preserve">     </v>
      </c>
      <c r="C81" s="169"/>
      <c r="D81" s="62" t="s">
        <v>356</v>
      </c>
      <c r="E81" s="82">
        <f>IF(E80-E70&gt;0,E80-E70,0)</f>
        <v>179899</v>
      </c>
      <c r="G81" s="355"/>
      <c r="H81" s="324"/>
      <c r="I81" s="324"/>
      <c r="J81" s="356"/>
    </row>
    <row r="82" spans="2:10" ht="15.75" customHeight="1" x14ac:dyDescent="0.2">
      <c r="B82" s="62"/>
      <c r="C82" s="565" t="s">
        <v>357</v>
      </c>
      <c r="D82" s="344">
        <f>inputOth!E51</f>
        <v>0.02</v>
      </c>
      <c r="E82" s="154">
        <f>ROUND(IF(D82&gt;0,(E81*D82),0),0)</f>
        <v>3598</v>
      </c>
      <c r="G82" s="676" t="s">
        <v>354</v>
      </c>
      <c r="H82" s="677"/>
      <c r="I82" s="677"/>
      <c r="J82" s="680" t="e">
        <f>IF(G79&gt;G78, "Yes", "No")</f>
        <v>#REF!</v>
      </c>
    </row>
    <row r="83" spans="2:10" ht="15.75" customHeight="1" thickBot="1" x14ac:dyDescent="0.25">
      <c r="B83" s="33"/>
      <c r="C83" s="659" t="str">
        <f>CONCATENATE("Amount of  ",$E$1-1," Ad Valorem Tax")</f>
        <v>Amount of  2025 Ad Valorem Tax</v>
      </c>
      <c r="D83" s="660"/>
      <c r="E83" s="347">
        <f>E81+E82</f>
        <v>183497</v>
      </c>
      <c r="F83" s="176"/>
      <c r="G83" s="678"/>
      <c r="H83" s="679"/>
      <c r="I83" s="679"/>
      <c r="J83" s="681"/>
    </row>
    <row r="84" spans="2:10" ht="16.5" thickTop="1" x14ac:dyDescent="0.2">
      <c r="B84" s="33"/>
      <c r="C84" s="564"/>
      <c r="D84" s="33"/>
      <c r="E84" s="33"/>
      <c r="F84" s="415" t="str">
        <f>IF(E76/0.95-E76&lt;E79,"Exceeds 5%","")</f>
        <v/>
      </c>
      <c r="G84" s="657" t="e">
        <f>IF(J82="Yes", "Follow procedure prescribed by KSA 79-2988 to exceed the Revenue Neutral Rate.", " ")</f>
        <v>#REF!</v>
      </c>
      <c r="H84" s="657"/>
      <c r="I84" s="657"/>
      <c r="J84" s="657"/>
    </row>
    <row r="85" spans="2:10" x14ac:dyDescent="0.2">
      <c r="B85" s="33"/>
      <c r="C85" s="564"/>
      <c r="D85" s="33"/>
      <c r="E85" s="33"/>
      <c r="F85" s="414" t="str">
        <f>IF('Library Grant'!F31="","",IF('Library Grant'!F31="Qualify","Qualifies for State Library Grant","See 'Library Grant' tab"))</f>
        <v>Qualifies for State Library Grant</v>
      </c>
    </row>
    <row r="86" spans="2:10" x14ac:dyDescent="0.2">
      <c r="B86" s="564" t="s">
        <v>364</v>
      </c>
      <c r="C86" s="462">
        <v>8</v>
      </c>
      <c r="D86" s="33"/>
      <c r="E86" s="33"/>
    </row>
    <row r="95" spans="2:10" x14ac:dyDescent="0.2">
      <c r="C95" s="64" t="str">
        <f>IF(C41&gt;C43,"See Tab A","")</f>
        <v/>
      </c>
      <c r="D95" s="64" t="str">
        <f>IF(D41&gt;D43,"See Tab C","")</f>
        <v/>
      </c>
    </row>
    <row r="96" spans="2:10" hidden="1" x14ac:dyDescent="0.2">
      <c r="C96" s="64" t="str">
        <f>IF(C42&lt;0,"See Tab B","")</f>
        <v/>
      </c>
      <c r="D96" s="64" t="str">
        <f>IF(D42&lt;0,"See Tab D","")</f>
        <v/>
      </c>
    </row>
    <row r="97" spans="3:4" hidden="1" x14ac:dyDescent="0.2">
      <c r="C97" s="64" t="str">
        <f>IF(C76&gt;C78,"See Tab A","")</f>
        <v/>
      </c>
      <c r="D97" s="64" t="str">
        <f>IF(D76&gt;D78,"See Tab C","")</f>
        <v/>
      </c>
    </row>
    <row r="98" spans="3:4" hidden="1" x14ac:dyDescent="0.2">
      <c r="C98" s="64" t="str">
        <f>IF(C77&lt;0,"See Tab B","")</f>
        <v/>
      </c>
      <c r="D98" s="64" t="str">
        <f>IF(D77&lt;0,"See Tab D","")</f>
        <v/>
      </c>
    </row>
    <row r="99" spans="3:4" hidden="1" x14ac:dyDescent="0.2"/>
  </sheetData>
  <mergeCells count="18">
    <mergeCell ref="G11:J11"/>
    <mergeCell ref="G22:J22"/>
    <mergeCell ref="G58:J58"/>
    <mergeCell ref="G64:J64"/>
    <mergeCell ref="G36:J37"/>
    <mergeCell ref="G44:I45"/>
    <mergeCell ref="J44:J45"/>
    <mergeCell ref="G46:J48"/>
    <mergeCell ref="G74:J75"/>
    <mergeCell ref="C44:D44"/>
    <mergeCell ref="C45:D45"/>
    <mergeCell ref="C48:D48"/>
    <mergeCell ref="G84:J84"/>
    <mergeCell ref="G82:I83"/>
    <mergeCell ref="J82:J83"/>
    <mergeCell ref="C79:D79"/>
    <mergeCell ref="C80:D80"/>
    <mergeCell ref="C83:D83"/>
  </mergeCells>
  <phoneticPr fontId="9" type="noConversion"/>
  <conditionalFormatting sqref="C23">
    <cfRule type="cellIs" dxfId="102" priority="22" stopIfTrue="1" operator="greaterThan">
      <formula>$C$25*0.1</formula>
    </cfRule>
  </conditionalFormatting>
  <conditionalFormatting sqref="C39">
    <cfRule type="cellIs" dxfId="101" priority="19" stopIfTrue="1" operator="greaterThan">
      <formula>$C$41*0.1</formula>
    </cfRule>
  </conditionalFormatting>
  <conditionalFormatting sqref="C41">
    <cfRule type="cellIs" dxfId="100" priority="18" stopIfTrue="1" operator="greaterThan">
      <formula>$C$43</formula>
    </cfRule>
  </conditionalFormatting>
  <conditionalFormatting sqref="C42 C77">
    <cfRule type="cellIs" dxfId="99" priority="17" stopIfTrue="1" operator="lessThan">
      <formula>0</formula>
    </cfRule>
  </conditionalFormatting>
  <conditionalFormatting sqref="C67">
    <cfRule type="cellIs" dxfId="98" priority="6" stopIfTrue="1" operator="greaterThan">
      <formula>$C$69*0.1</formula>
    </cfRule>
  </conditionalFormatting>
  <conditionalFormatting sqref="C74">
    <cfRule type="cellIs" dxfId="97" priority="11" stopIfTrue="1" operator="greaterThan">
      <formula>$C$76*0.1</formula>
    </cfRule>
  </conditionalFormatting>
  <conditionalFormatting sqref="C76">
    <cfRule type="cellIs" dxfId="96" priority="9" stopIfTrue="1" operator="greaterThan">
      <formula>$C$78</formula>
    </cfRule>
  </conditionalFormatting>
  <conditionalFormatting sqref="D23">
    <cfRule type="cellIs" dxfId="95" priority="23" stopIfTrue="1" operator="greaterThan">
      <formula>$D$25*0.1</formula>
    </cfRule>
  </conditionalFormatting>
  <conditionalFormatting sqref="D39">
    <cfRule type="cellIs" dxfId="94" priority="21" stopIfTrue="1" operator="greaterThan">
      <formula>$D$41*0.1</formula>
    </cfRule>
  </conditionalFormatting>
  <conditionalFormatting sqref="D41">
    <cfRule type="cellIs" dxfId="93" priority="20" stopIfTrue="1" operator="greaterThan">
      <formula>$D$43</formula>
    </cfRule>
  </conditionalFormatting>
  <conditionalFormatting sqref="D42 D77">
    <cfRule type="cellIs" dxfId="92" priority="16" stopIfTrue="1" operator="lessThan">
      <formula>0</formula>
    </cfRule>
  </conditionalFormatting>
  <conditionalFormatting sqref="D67">
    <cfRule type="cellIs" dxfId="91" priority="7" stopIfTrue="1" operator="greaterThan">
      <formula>$D$69*0.1</formula>
    </cfRule>
  </conditionalFormatting>
  <conditionalFormatting sqref="D74">
    <cfRule type="cellIs" dxfId="90" priority="12" stopIfTrue="1" operator="greaterThan">
      <formula>$D$76*0.1</formula>
    </cfRule>
  </conditionalFormatting>
  <conditionalFormatting sqref="D76">
    <cfRule type="cellIs" dxfId="89" priority="10" stopIfTrue="1" operator="greaterThan">
      <formula>$D$78</formula>
    </cfRule>
  </conditionalFormatting>
  <conditionalFormatting sqref="E23">
    <cfRule type="cellIs" dxfId="88" priority="34" stopIfTrue="1" operator="greaterThan">
      <formula>$E$25*0.1+$E$48</formula>
    </cfRule>
  </conditionalFormatting>
  <conditionalFormatting sqref="E39">
    <cfRule type="cellIs" dxfId="87" priority="25" stopIfTrue="1" operator="greaterThan">
      <formula>$E$41*0.1</formula>
    </cfRule>
  </conditionalFormatting>
  <conditionalFormatting sqref="E44">
    <cfRule type="cellIs" dxfId="86" priority="24" stopIfTrue="1" operator="greaterThan">
      <formula>$E$41/0.95-$E$41</formula>
    </cfRule>
  </conditionalFormatting>
  <conditionalFormatting sqref="E67">
    <cfRule type="cellIs" dxfId="85" priority="32" stopIfTrue="1" operator="greaterThan">
      <formula>$E$69*0.1+$E$83</formula>
    </cfRule>
  </conditionalFormatting>
  <conditionalFormatting sqref="E74">
    <cfRule type="cellIs" dxfId="84" priority="14" stopIfTrue="1" operator="greaterThan">
      <formula>$E$76*0.1</formula>
    </cfRule>
  </conditionalFormatting>
  <conditionalFormatting sqref="E79">
    <cfRule type="cellIs" dxfId="83" priority="13" stopIfTrue="1" operator="greaterThan">
      <formula>$E$76/0.95-$E$76</formula>
    </cfRule>
  </conditionalFormatting>
  <conditionalFormatting sqref="J44">
    <cfRule type="containsText" dxfId="82" priority="1" operator="containsText" text="Yes">
      <formula>NOT(ISERROR(SEARCH("Yes",J44)))</formula>
    </cfRule>
  </conditionalFormatting>
  <conditionalFormatting sqref="J82">
    <cfRule type="containsText" dxfId="81" priority="2" operator="containsText" text="Yes">
      <formula>NOT(ISERROR(SEARCH("Yes",J82)))</formula>
    </cfRule>
  </conditionalFormatting>
  <pageMargins left="0.75" right="0.75" top="1" bottom="1" header="0.5" footer="0.5"/>
  <pageSetup scale="52" orientation="portrait" blackAndWhite="1" r:id="rId1"/>
  <headerFooter alignWithMargins="0">
    <oddHeader>&amp;RState of Kansas
City</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F0"/>
    <pageSetUpPr fitToPage="1"/>
  </sheetPr>
  <dimension ref="B1:K109"/>
  <sheetViews>
    <sheetView zoomScaleNormal="100" workbookViewId="0">
      <selection activeCell="E18" sqref="E18"/>
    </sheetView>
  </sheetViews>
  <sheetFormatPr defaultColWidth="8.88671875" defaultRowHeight="15.75" x14ac:dyDescent="0.2"/>
  <cols>
    <col min="1" max="1" width="2.44140625" style="64" customWidth="1"/>
    <col min="2" max="2" width="31.109375" style="64" customWidth="1"/>
    <col min="3" max="4" width="15.77734375" style="64" customWidth="1"/>
    <col min="5" max="5" width="16.21875" style="64" customWidth="1"/>
    <col min="6" max="6" width="8.109375" style="64" customWidth="1"/>
    <col min="7" max="7" width="10.21875" style="64" customWidth="1"/>
    <col min="8" max="8" width="8.88671875" style="64"/>
    <col min="9" max="9" width="5.5546875" style="64" customWidth="1"/>
    <col min="10" max="10" width="10" style="64" customWidth="1"/>
    <col min="11" max="16384" width="8.88671875" style="64"/>
  </cols>
  <sheetData>
    <row r="1" spans="2:10" x14ac:dyDescent="0.2">
      <c r="B1" s="51" t="str">
        <f>(inputPrYr!D3)</f>
        <v>City of Concordia</v>
      </c>
      <c r="C1" s="33"/>
      <c r="D1" s="33"/>
      <c r="E1" s="564">
        <f>inputPrYr!C6</f>
        <v>2026</v>
      </c>
    </row>
    <row r="2" spans="2:10" x14ac:dyDescent="0.2">
      <c r="B2" s="33"/>
      <c r="C2" s="33"/>
      <c r="D2" s="33"/>
      <c r="E2" s="62"/>
    </row>
    <row r="3" spans="2:10" x14ac:dyDescent="0.2">
      <c r="B3" s="146" t="s">
        <v>319</v>
      </c>
      <c r="C3" s="53"/>
      <c r="D3" s="53"/>
      <c r="E3" s="145"/>
    </row>
    <row r="4" spans="2:10" x14ac:dyDescent="0.2">
      <c r="B4" s="557" t="s">
        <v>320</v>
      </c>
      <c r="C4" s="149" t="s">
        <v>321</v>
      </c>
      <c r="D4" s="150" t="s">
        <v>268</v>
      </c>
      <c r="E4" s="43" t="s">
        <v>323</v>
      </c>
    </row>
    <row r="5" spans="2:10" x14ac:dyDescent="0.2">
      <c r="B5" s="270" t="str">
        <f>inputPrYr!B21</f>
        <v>Library Employee Benefit</v>
      </c>
      <c r="C5" s="563" t="str">
        <f>CONCATENATE("Actual for ",E1-2,"")</f>
        <v>Actual for 2024</v>
      </c>
      <c r="D5" s="563" t="str">
        <f>CONCATENATE("Estimate for ",E1-1,"")</f>
        <v>Estimate for 2025</v>
      </c>
      <c r="E5" s="151" t="str">
        <f>CONCATENATE("Year for ",E1,"")</f>
        <v>Year for 2026</v>
      </c>
    </row>
    <row r="6" spans="2:10" x14ac:dyDescent="0.2">
      <c r="B6" s="571" t="s">
        <v>324</v>
      </c>
      <c r="C6" s="152">
        <v>506</v>
      </c>
      <c r="D6" s="153">
        <f>C31</f>
        <v>389</v>
      </c>
      <c r="E6" s="154">
        <f>D31</f>
        <v>297</v>
      </c>
    </row>
    <row r="7" spans="2:10" x14ac:dyDescent="0.2">
      <c r="B7" s="170" t="s">
        <v>325</v>
      </c>
      <c r="C7" s="117"/>
      <c r="D7" s="117"/>
      <c r="E7" s="47"/>
    </row>
    <row r="8" spans="2:10" x14ac:dyDescent="0.2">
      <c r="B8" s="560" t="s">
        <v>326</v>
      </c>
      <c r="C8" s="152">
        <v>60193</v>
      </c>
      <c r="D8" s="153">
        <f>IF(inputPrYr!H16&gt;0,inputPrYr!G21,inputPrYr!E21)</f>
        <v>64689</v>
      </c>
      <c r="E8" s="175" t="s">
        <v>179</v>
      </c>
    </row>
    <row r="9" spans="2:10" x14ac:dyDescent="0.2">
      <c r="B9" s="560" t="s">
        <v>327</v>
      </c>
      <c r="C9" s="152">
        <v>613</v>
      </c>
      <c r="D9" s="152">
        <v>0</v>
      </c>
      <c r="E9" s="72">
        <v>0</v>
      </c>
    </row>
    <row r="10" spans="2:10" x14ac:dyDescent="0.2">
      <c r="B10" s="560" t="s">
        <v>328</v>
      </c>
      <c r="C10" s="152">
        <v>6889</v>
      </c>
      <c r="D10" s="152">
        <v>6500</v>
      </c>
      <c r="E10" s="154">
        <f>Mvalloc!D10</f>
        <v>7374</v>
      </c>
    </row>
    <row r="11" spans="2:10" x14ac:dyDescent="0.2">
      <c r="B11" s="560" t="s">
        <v>329</v>
      </c>
      <c r="C11" s="152">
        <v>99</v>
      </c>
      <c r="D11" s="152">
        <v>90</v>
      </c>
      <c r="E11" s="154">
        <f>Mvalloc!E10</f>
        <v>98</v>
      </c>
      <c r="G11" s="682" t="str">
        <f>CONCATENATE("Desired Carryover Into ",E1+1,"")</f>
        <v>Desired Carryover Into 2027</v>
      </c>
      <c r="H11" s="668"/>
      <c r="I11" s="668"/>
      <c r="J11" s="669"/>
    </row>
    <row r="12" spans="2:10" x14ac:dyDescent="0.2">
      <c r="B12" s="117" t="s">
        <v>330</v>
      </c>
      <c r="C12" s="152">
        <v>51</v>
      </c>
      <c r="D12" s="152">
        <v>50</v>
      </c>
      <c r="E12" s="154">
        <f>Mvalloc!F10</f>
        <v>44</v>
      </c>
      <c r="G12" s="323"/>
      <c r="H12" s="324"/>
      <c r="I12" s="325"/>
      <c r="J12" s="326"/>
    </row>
    <row r="13" spans="2:10" x14ac:dyDescent="0.2">
      <c r="B13" s="571" t="s">
        <v>331</v>
      </c>
      <c r="C13" s="152">
        <f>333+137</f>
        <v>470</v>
      </c>
      <c r="D13" s="152">
        <v>470</v>
      </c>
      <c r="E13" s="154">
        <f>Mvalloc!G10</f>
        <v>497</v>
      </c>
      <c r="G13" s="327" t="s">
        <v>345</v>
      </c>
      <c r="H13" s="325"/>
      <c r="I13" s="325"/>
      <c r="J13" s="328">
        <v>0</v>
      </c>
    </row>
    <row r="14" spans="2:10" x14ac:dyDescent="0.2">
      <c r="B14" s="571" t="s">
        <v>332</v>
      </c>
      <c r="C14" s="152">
        <v>0</v>
      </c>
      <c r="D14" s="152">
        <v>0</v>
      </c>
      <c r="E14" s="154">
        <f>Mvalloc!H10</f>
        <v>35</v>
      </c>
      <c r="G14" s="323" t="s">
        <v>346</v>
      </c>
      <c r="H14" s="324"/>
      <c r="I14" s="324"/>
      <c r="J14" s="354" t="str">
        <f>IF(J13=0,"",ROUND((J13+E37-G25)/#REF!*1000,3)-G30)</f>
        <v/>
      </c>
    </row>
    <row r="15" spans="2:10" x14ac:dyDescent="0.2">
      <c r="B15" s="156" t="s">
        <v>848</v>
      </c>
      <c r="C15" s="152">
        <v>5</v>
      </c>
      <c r="D15" s="152">
        <v>3</v>
      </c>
      <c r="E15" s="72">
        <v>3</v>
      </c>
      <c r="G15" s="330" t="str">
        <f>CONCATENATE("",E1," Tot Exp/Non-Appr Must Be:")</f>
        <v>2026 Tot Exp/Non-Appr Must Be:</v>
      </c>
      <c r="H15" s="331"/>
      <c r="I15" s="332"/>
      <c r="J15" s="333">
        <f>IF(J13&gt;0,IF(E34&lt;E22,IF(J13=G25,E34,((J13-G25)*(1-D36))+E22),E34+(J13-G25)),0)</f>
        <v>0</v>
      </c>
    </row>
    <row r="16" spans="2:10" x14ac:dyDescent="0.2">
      <c r="B16" s="156"/>
      <c r="C16" s="152"/>
      <c r="D16" s="152"/>
      <c r="E16" s="72"/>
      <c r="G16" s="334" t="s">
        <v>370</v>
      </c>
      <c r="H16" s="335"/>
      <c r="I16" s="335"/>
      <c r="J16" s="336">
        <f>IF(J13&gt;0,J15-E34,0)</f>
        <v>0</v>
      </c>
    </row>
    <row r="17" spans="2:11" x14ac:dyDescent="0.2">
      <c r="B17" s="171" t="s">
        <v>336</v>
      </c>
      <c r="C17" s="152"/>
      <c r="D17" s="152"/>
      <c r="E17" s="72"/>
      <c r="G17" s="682" t="str">
        <f>CONCATENATE("Projected Carryover Into ",E1+1,"")</f>
        <v>Projected Carryover Into 2027</v>
      </c>
      <c r="H17" s="684"/>
      <c r="I17" s="684"/>
      <c r="J17" s="686"/>
    </row>
    <row r="18" spans="2:11" x14ac:dyDescent="0.25">
      <c r="B18" s="166" t="s">
        <v>337</v>
      </c>
      <c r="C18" s="152"/>
      <c r="D18" s="152"/>
      <c r="E18" s="337"/>
      <c r="G18" s="323"/>
      <c r="H18" s="325"/>
      <c r="I18" s="325"/>
      <c r="J18" s="408"/>
    </row>
    <row r="19" spans="2:11" x14ac:dyDescent="0.25">
      <c r="B19" s="117" t="s">
        <v>338</v>
      </c>
      <c r="C19" s="152"/>
      <c r="D19" s="152"/>
      <c r="E19" s="72"/>
      <c r="G19" s="358">
        <f>D31</f>
        <v>297</v>
      </c>
      <c r="H19" s="348" t="str">
        <f>CONCATENATE("",E1-1," Ending Cash Balance (est.)")</f>
        <v>2025 Ending Cash Balance (est.)</v>
      </c>
      <c r="I19" s="359"/>
      <c r="J19" s="408"/>
    </row>
    <row r="20" spans="2:11" x14ac:dyDescent="0.25">
      <c r="B20" s="571" t="s">
        <v>339</v>
      </c>
      <c r="C20" s="160" t="str">
        <f>IF(C21*0.1&lt;C19,"Exceed 10% Rule","")</f>
        <v/>
      </c>
      <c r="D20" s="160" t="str">
        <f>IF(D21*0.1&lt;D19,"Exceed 10% Rule","")</f>
        <v/>
      </c>
      <c r="E20" s="167" t="str">
        <f>IF(E21*0.1+E37&lt;E19,"Exceed 10% Rule","")</f>
        <v/>
      </c>
      <c r="G20" s="358">
        <f>E21</f>
        <v>8051</v>
      </c>
      <c r="H20" s="325" t="str">
        <f>CONCATENATE("",E1," Non-AV Receipts (est.)")</f>
        <v>2026 Non-AV Receipts (est.)</v>
      </c>
      <c r="I20" s="359"/>
      <c r="J20" s="408"/>
    </row>
    <row r="21" spans="2:11" x14ac:dyDescent="0.2">
      <c r="B21" s="162" t="s">
        <v>340</v>
      </c>
      <c r="C21" s="164">
        <f>SUM(C8:C19)</f>
        <v>68320</v>
      </c>
      <c r="D21" s="164">
        <f>SUM(D8:D19)</f>
        <v>71802</v>
      </c>
      <c r="E21" s="165">
        <f>SUM(E8:E19)</f>
        <v>8051</v>
      </c>
      <c r="G21" s="360">
        <f>IF(E36&gt;0,E35,E37)</f>
        <v>59858</v>
      </c>
      <c r="H21" s="325" t="str">
        <f>CONCATENATE("",E1," Ad Valorem Tax (est.)")</f>
        <v>2026 Ad Valorem Tax (est.)</v>
      </c>
      <c r="I21" s="359"/>
      <c r="J21" s="409"/>
      <c r="K21" s="406" t="str">
        <f>IF(G21=E37,"","Note: Does not include Delinquent Taxes")</f>
        <v>Note: Does not include Delinquent Taxes</v>
      </c>
    </row>
    <row r="22" spans="2:11" x14ac:dyDescent="0.25">
      <c r="B22" s="162" t="s">
        <v>341</v>
      </c>
      <c r="C22" s="168">
        <f>C6+C21</f>
        <v>68826</v>
      </c>
      <c r="D22" s="168">
        <f>D6+D21</f>
        <v>72191</v>
      </c>
      <c r="E22" s="82">
        <f>E6+E21</f>
        <v>8348</v>
      </c>
      <c r="G22" s="358">
        <f>SUM(G19:G21)</f>
        <v>68206</v>
      </c>
      <c r="H22" s="325" t="str">
        <f>CONCATENATE("Total ",E1," Resources Available")</f>
        <v>Total 2026 Resources Available</v>
      </c>
      <c r="I22" s="359"/>
      <c r="J22" s="408"/>
    </row>
    <row r="23" spans="2:11" x14ac:dyDescent="0.25">
      <c r="B23" s="560" t="s">
        <v>343</v>
      </c>
      <c r="C23" s="166"/>
      <c r="D23" s="166"/>
      <c r="E23" s="49"/>
      <c r="G23" s="410"/>
      <c r="H23" s="325"/>
      <c r="I23" s="325"/>
      <c r="J23" s="408"/>
    </row>
    <row r="24" spans="2:11" x14ac:dyDescent="0.25">
      <c r="B24" s="156" t="s">
        <v>850</v>
      </c>
      <c r="C24" s="152">
        <v>68437</v>
      </c>
      <c r="D24" s="152">
        <v>71894</v>
      </c>
      <c r="E24" s="72">
        <v>68206</v>
      </c>
      <c r="G24" s="360">
        <f>ROUND(C30*0.05+C30,0)</f>
        <v>71859</v>
      </c>
      <c r="H24" s="325" t="str">
        <f>CONCATENATE("Less ",E1-2," Expenditures + 5%")</f>
        <v>Less 2024 Expenditures + 5%</v>
      </c>
      <c r="I24" s="359"/>
      <c r="J24" s="408"/>
    </row>
    <row r="25" spans="2:11" x14ac:dyDescent="0.25">
      <c r="B25" s="156"/>
      <c r="C25" s="152"/>
      <c r="D25" s="152"/>
      <c r="E25" s="72"/>
      <c r="G25" s="411">
        <f>G22-G24</f>
        <v>-3653</v>
      </c>
      <c r="H25" s="412" t="str">
        <f>CONCATENATE("Projected ",E1+1," carryover (est.)")</f>
        <v>Projected 2027 carryover (est.)</v>
      </c>
      <c r="I25" s="413"/>
      <c r="J25" s="368"/>
    </row>
    <row r="26" spans="2:11" x14ac:dyDescent="0.2">
      <c r="B26" s="156"/>
      <c r="C26" s="152"/>
      <c r="D26" s="152"/>
      <c r="E26" s="72"/>
    </row>
    <row r="27" spans="2:11" x14ac:dyDescent="0.2">
      <c r="B27" s="166" t="str">
        <f>CONCATENATE("Cash Reserve (",E1," column)")</f>
        <v>Cash Reserve (2026 column)</v>
      </c>
      <c r="C27" s="152"/>
      <c r="D27" s="152"/>
      <c r="E27" s="72"/>
      <c r="G27" s="670" t="s">
        <v>348</v>
      </c>
      <c r="H27" s="671"/>
      <c r="I27" s="671"/>
      <c r="J27" s="672"/>
    </row>
    <row r="28" spans="2:11" x14ac:dyDescent="0.2">
      <c r="B28" s="166" t="s">
        <v>338</v>
      </c>
      <c r="C28" s="152"/>
      <c r="D28" s="152"/>
      <c r="E28" s="72"/>
      <c r="G28" s="673"/>
      <c r="H28" s="674"/>
      <c r="I28" s="674"/>
      <c r="J28" s="675"/>
    </row>
    <row r="29" spans="2:11" x14ac:dyDescent="0.2">
      <c r="B29" s="166" t="s">
        <v>349</v>
      </c>
      <c r="C29" s="160" t="str">
        <f>IF(C30*0.1&lt;C28,"Exceed 10% Rule","")</f>
        <v/>
      </c>
      <c r="D29" s="160" t="str">
        <f>IF(D30*0.1&lt;D28,"Exceed 10% Rule","")</f>
        <v/>
      </c>
      <c r="E29" s="167" t="str">
        <f>IF(E30*0.1&lt;E28,"Exceed 10% Rule","")</f>
        <v/>
      </c>
      <c r="G29" s="351" t="e">
        <f>#REF!</f>
        <v>#REF!</v>
      </c>
      <c r="H29" s="348" t="str">
        <f>CONCATENATE("",E1," Estimated Fund Mill Rate")</f>
        <v>2026 Estimated Fund Mill Rate</v>
      </c>
      <c r="I29" s="349"/>
      <c r="J29" s="350"/>
    </row>
    <row r="30" spans="2:11" x14ac:dyDescent="0.2">
      <c r="B30" s="162" t="s">
        <v>351</v>
      </c>
      <c r="C30" s="164">
        <f>SUM(C24:C28)</f>
        <v>68437</v>
      </c>
      <c r="D30" s="164">
        <f>SUM(D24:D28)</f>
        <v>71894</v>
      </c>
      <c r="E30" s="165">
        <f>SUM(E24:E28)</f>
        <v>68206</v>
      </c>
      <c r="G30" s="520" t="e">
        <f>#REF!</f>
        <v>#REF!</v>
      </c>
      <c r="H30" s="348" t="str">
        <f>CONCATENATE("",E1-1," Fund Mill Rate")</f>
        <v>2025 Fund Mill Rate</v>
      </c>
      <c r="I30" s="349"/>
      <c r="J30" s="350"/>
    </row>
    <row r="31" spans="2:11" x14ac:dyDescent="0.2">
      <c r="B31" s="560" t="s">
        <v>352</v>
      </c>
      <c r="C31" s="168">
        <f>C22-C30</f>
        <v>389</v>
      </c>
      <c r="D31" s="168">
        <f>D22-D30</f>
        <v>297</v>
      </c>
      <c r="E31" s="175" t="s">
        <v>179</v>
      </c>
      <c r="G31" s="521" t="e">
        <f>#REF!</f>
        <v>#REF!</v>
      </c>
      <c r="H31" s="522" t="s">
        <v>350</v>
      </c>
      <c r="I31" s="349"/>
      <c r="J31" s="350"/>
    </row>
    <row r="32" spans="2:11" x14ac:dyDescent="0.2">
      <c r="B32" s="121" t="str">
        <f>CONCATENATE("",E1-2,"/",E1-1,"/",E1," Budget Authority Amount:")</f>
        <v>2024/2025/2026 Budget Authority Amount:</v>
      </c>
      <c r="C32" s="180">
        <f>inputOth!B67</f>
        <v>68437</v>
      </c>
      <c r="D32" s="180">
        <f>inputPrYr!D21</f>
        <v>71894</v>
      </c>
      <c r="E32" s="154">
        <f>E30</f>
        <v>68206</v>
      </c>
      <c r="G32" s="351" t="e">
        <f>#REF!</f>
        <v>#REF!</v>
      </c>
      <c r="H32" s="348" t="str">
        <f>CONCATENATE(E1," Estimated Total Mill Rate")</f>
        <v>2026 Estimated Total Mill Rate</v>
      </c>
      <c r="I32" s="349"/>
      <c r="J32" s="350"/>
    </row>
    <row r="33" spans="2:10" ht="15.75" customHeight="1" x14ac:dyDescent="0.2">
      <c r="B33" s="564"/>
      <c r="C33" s="661" t="s">
        <v>353</v>
      </c>
      <c r="D33" s="662"/>
      <c r="E33" s="72"/>
      <c r="G33" s="353" t="e">
        <f>#REF!</f>
        <v>#REF!</v>
      </c>
      <c r="H33" s="348" t="str">
        <f>CONCATENATE(E1-1," Total Mill Rate")</f>
        <v>2025 Total Mill Rate</v>
      </c>
      <c r="I33" s="349"/>
      <c r="J33" s="350"/>
    </row>
    <row r="34" spans="2:10" ht="15.75" customHeight="1" x14ac:dyDescent="0.2">
      <c r="B34" s="307" t="str">
        <f>CONCATENATE(C106,"     ",D106)</f>
        <v xml:space="preserve">     </v>
      </c>
      <c r="C34" s="663" t="s">
        <v>355</v>
      </c>
      <c r="D34" s="664"/>
      <c r="E34" s="154">
        <f>E30+E33</f>
        <v>68206</v>
      </c>
      <c r="F34" s="176"/>
      <c r="G34" s="355"/>
      <c r="H34" s="324"/>
      <c r="I34" s="324"/>
      <c r="J34" s="356"/>
    </row>
    <row r="35" spans="2:10" ht="15.75" customHeight="1" x14ac:dyDescent="0.2">
      <c r="B35" s="307" t="str">
        <f>CONCATENATE(C107,"      ",D107)</f>
        <v xml:space="preserve">      </v>
      </c>
      <c r="C35" s="169"/>
      <c r="D35" s="62" t="s">
        <v>356</v>
      </c>
      <c r="E35" s="82">
        <f>IF(E34-E22&gt;0,E34-E22,0)</f>
        <v>59858</v>
      </c>
      <c r="F35" s="415" t="str">
        <f>IF(E30/0.95-E30&lt;E33,"Exceeds 5%","")</f>
        <v/>
      </c>
      <c r="G35" s="676" t="s">
        <v>354</v>
      </c>
      <c r="H35" s="677"/>
      <c r="I35" s="677"/>
      <c r="J35" s="680" t="e">
        <f>IF(G32&gt;G31, "Yes", "No")</f>
        <v>#REF!</v>
      </c>
    </row>
    <row r="36" spans="2:10" ht="15.75" customHeight="1" x14ac:dyDescent="0.2">
      <c r="B36" s="62"/>
      <c r="C36" s="565" t="s">
        <v>357</v>
      </c>
      <c r="D36" s="344">
        <f>inputOth!$E$51</f>
        <v>0.02</v>
      </c>
      <c r="E36" s="154">
        <f>ROUND(IF(D36&gt;0,(E35*D36),0),0)</f>
        <v>1197</v>
      </c>
      <c r="G36" s="678"/>
      <c r="H36" s="679"/>
      <c r="I36" s="679"/>
      <c r="J36" s="681"/>
    </row>
    <row r="37" spans="2:10" ht="15.75" customHeight="1" thickBot="1" x14ac:dyDescent="0.25">
      <c r="B37" s="62"/>
      <c r="C37" s="659" t="str">
        <f>CONCATENATE("Amount of  ",$E$1-1," Ad Valorem Tax")</f>
        <v>Amount of  2025 Ad Valorem Tax</v>
      </c>
      <c r="D37" s="660"/>
      <c r="E37" s="347">
        <f>E35+E36</f>
        <v>61055</v>
      </c>
      <c r="G37" s="657" t="e">
        <f>IF(J35="Yes", "Follow procedure prescribed by KSA 79-2988 to exceed the Revenue Neutral Rate.", " ")</f>
        <v>#REF!</v>
      </c>
      <c r="H37" s="657"/>
      <c r="I37" s="657"/>
      <c r="J37" s="657"/>
    </row>
    <row r="38" spans="2:10" ht="16.5" thickTop="1" x14ac:dyDescent="0.2">
      <c r="B38" s="33"/>
      <c r="C38" s="659"/>
      <c r="D38" s="660"/>
      <c r="E38" s="33"/>
      <c r="G38" s="590"/>
      <c r="H38" s="590"/>
      <c r="I38" s="590"/>
      <c r="J38" s="590"/>
    </row>
    <row r="39" spans="2:10" x14ac:dyDescent="0.2">
      <c r="B39" s="557"/>
      <c r="C39" s="37"/>
      <c r="D39" s="37"/>
      <c r="E39" s="37"/>
      <c r="G39" s="590"/>
      <c r="H39" s="590"/>
      <c r="I39" s="590"/>
      <c r="J39" s="590"/>
    </row>
    <row r="40" spans="2:10" x14ac:dyDescent="0.2">
      <c r="B40" s="557" t="s">
        <v>320</v>
      </c>
      <c r="C40" s="149" t="s">
        <v>321</v>
      </c>
      <c r="D40" s="150" t="s">
        <v>322</v>
      </c>
      <c r="E40" s="43" t="s">
        <v>323</v>
      </c>
    </row>
    <row r="41" spans="2:10" x14ac:dyDescent="0.2">
      <c r="B41" s="270" t="str">
        <f>(inputPrYr!B22)</f>
        <v>Economic Development</v>
      </c>
      <c r="C41" s="563" t="str">
        <f>C5</f>
        <v>Actual for 2024</v>
      </c>
      <c r="D41" s="563" t="str">
        <f>D5</f>
        <v>Estimate for 2025</v>
      </c>
      <c r="E41" s="151" t="str">
        <f>E5</f>
        <v>Year for 2026</v>
      </c>
    </row>
    <row r="42" spans="2:10" x14ac:dyDescent="0.2">
      <c r="B42" s="571" t="s">
        <v>324</v>
      </c>
      <c r="C42" s="152">
        <v>643</v>
      </c>
      <c r="D42" s="153">
        <f>C69</f>
        <v>2250</v>
      </c>
      <c r="E42" s="154">
        <f>D69</f>
        <v>2060</v>
      </c>
    </row>
    <row r="43" spans="2:10" x14ac:dyDescent="0.2">
      <c r="B43" s="170" t="s">
        <v>325</v>
      </c>
      <c r="C43" s="117"/>
      <c r="D43" s="117"/>
      <c r="E43" s="47"/>
    </row>
    <row r="44" spans="2:10" x14ac:dyDescent="0.2">
      <c r="B44" s="560" t="s">
        <v>326</v>
      </c>
      <c r="C44" s="152">
        <v>44461</v>
      </c>
      <c r="D44" s="153">
        <f>IF(inputPrYr!H16&gt;0,inputPrYr!G22,inputPrYr!E22)</f>
        <v>43574</v>
      </c>
      <c r="E44" s="175" t="s">
        <v>179</v>
      </c>
    </row>
    <row r="45" spans="2:10" x14ac:dyDescent="0.2">
      <c r="B45" s="560" t="s">
        <v>327</v>
      </c>
      <c r="C45" s="152">
        <v>471</v>
      </c>
      <c r="D45" s="152">
        <v>0</v>
      </c>
      <c r="E45" s="72">
        <v>0</v>
      </c>
    </row>
    <row r="46" spans="2:10" x14ac:dyDescent="0.2">
      <c r="B46" s="560" t="s">
        <v>328</v>
      </c>
      <c r="C46" s="152">
        <v>5202</v>
      </c>
      <c r="D46" s="152">
        <v>4800</v>
      </c>
      <c r="E46" s="154">
        <f>Mvalloc!D11</f>
        <v>4967</v>
      </c>
    </row>
    <row r="47" spans="2:10" x14ac:dyDescent="0.2">
      <c r="B47" s="560" t="s">
        <v>329</v>
      </c>
      <c r="C47" s="152">
        <v>75</v>
      </c>
      <c r="D47" s="152">
        <v>67</v>
      </c>
      <c r="E47" s="154">
        <f>Mvalloc!E11</f>
        <v>66</v>
      </c>
    </row>
    <row r="48" spans="2:10" x14ac:dyDescent="0.2">
      <c r="B48" s="117" t="s">
        <v>330</v>
      </c>
      <c r="C48" s="152">
        <v>37</v>
      </c>
      <c r="D48" s="152">
        <v>36</v>
      </c>
      <c r="E48" s="154">
        <f>Mvalloc!F11</f>
        <v>30</v>
      </c>
      <c r="G48" s="682" t="str">
        <f>CONCATENATE("Desired Carryover Into ",E1+1,"")</f>
        <v>Desired Carryover Into 2027</v>
      </c>
      <c r="H48" s="668"/>
      <c r="I48" s="668"/>
      <c r="J48" s="669"/>
    </row>
    <row r="49" spans="2:11" x14ac:dyDescent="0.2">
      <c r="B49" s="571" t="s">
        <v>331</v>
      </c>
      <c r="C49" s="152">
        <f>253+104+1</f>
        <v>358</v>
      </c>
      <c r="D49" s="152">
        <v>330</v>
      </c>
      <c r="E49" s="154">
        <f>Mvalloc!G11</f>
        <v>335</v>
      </c>
      <c r="G49" s="323"/>
      <c r="H49" s="324"/>
      <c r="I49" s="325"/>
      <c r="J49" s="326"/>
    </row>
    <row r="50" spans="2:11" x14ac:dyDescent="0.2">
      <c r="B50" s="571" t="s">
        <v>332</v>
      </c>
      <c r="C50" s="152"/>
      <c r="D50" s="152"/>
      <c r="E50" s="154">
        <f>Mvalloc!H11</f>
        <v>24</v>
      </c>
      <c r="G50" s="327" t="s">
        <v>345</v>
      </c>
      <c r="H50" s="325"/>
      <c r="I50" s="325"/>
      <c r="J50" s="328">
        <v>0</v>
      </c>
    </row>
    <row r="51" spans="2:11" x14ac:dyDescent="0.2">
      <c r="B51" s="156" t="s">
        <v>848</v>
      </c>
      <c r="C51" s="152">
        <v>3</v>
      </c>
      <c r="D51" s="152">
        <v>3</v>
      </c>
      <c r="E51" s="72">
        <v>3</v>
      </c>
      <c r="G51" s="323" t="s">
        <v>346</v>
      </c>
      <c r="H51" s="324"/>
      <c r="I51" s="324"/>
      <c r="J51" s="354" t="str">
        <f>IF(J50=0,"",ROUND((J50+E75-G63)/#REF!*1000,3)-G69)</f>
        <v/>
      </c>
    </row>
    <row r="52" spans="2:11" x14ac:dyDescent="0.2">
      <c r="B52" s="156" t="s">
        <v>853</v>
      </c>
      <c r="C52" s="152">
        <v>7000</v>
      </c>
      <c r="D52" s="152">
        <v>7000</v>
      </c>
      <c r="E52" s="72">
        <v>7000</v>
      </c>
      <c r="G52" s="330" t="str">
        <f>CONCATENATE("",E1," Tot Exp/Non-Appr Must Be:")</f>
        <v>2026 Tot Exp/Non-Appr Must Be:</v>
      </c>
      <c r="H52" s="331"/>
      <c r="I52" s="332"/>
      <c r="J52" s="333">
        <f>IF(J50&gt;0,IF(E72&lt;E60,IF(J50=G63,E72,((J50-G63)*(1-D74))+E60),E72+(J50-G63)),0)</f>
        <v>0</v>
      </c>
    </row>
    <row r="53" spans="2:11" x14ac:dyDescent="0.2">
      <c r="B53" s="156" t="s">
        <v>842</v>
      </c>
      <c r="C53" s="152">
        <v>2000</v>
      </c>
      <c r="D53" s="152">
        <v>2000</v>
      </c>
      <c r="E53" s="72">
        <v>2000</v>
      </c>
      <c r="G53" s="334" t="s">
        <v>370</v>
      </c>
      <c r="H53" s="335"/>
      <c r="I53" s="335"/>
      <c r="J53" s="336">
        <f>IF(J50&gt;0,J52-E72,0)</f>
        <v>0</v>
      </c>
    </row>
    <row r="54" spans="2:11" x14ac:dyDescent="0.25">
      <c r="B54" s="156"/>
      <c r="C54" s="152"/>
      <c r="D54" s="152"/>
      <c r="E54" s="72"/>
      <c r="J54" s="2"/>
    </row>
    <row r="55" spans="2:11" x14ac:dyDescent="0.2">
      <c r="B55" s="171" t="s">
        <v>336</v>
      </c>
      <c r="C55" s="152"/>
      <c r="D55" s="152"/>
      <c r="E55" s="72"/>
      <c r="G55" s="682" t="str">
        <f>CONCATENATE("Projected Carryover Into ",E1+1,"")</f>
        <v>Projected Carryover Into 2027</v>
      </c>
      <c r="H55" s="685"/>
      <c r="I55" s="685"/>
      <c r="J55" s="686"/>
    </row>
    <row r="56" spans="2:11" x14ac:dyDescent="0.2">
      <c r="B56" s="166" t="s">
        <v>337</v>
      </c>
      <c r="C56" s="152"/>
      <c r="D56" s="152"/>
      <c r="E56" s="337"/>
      <c r="G56" s="355"/>
      <c r="H56" s="324"/>
      <c r="I56" s="324"/>
      <c r="J56" s="356"/>
    </row>
    <row r="57" spans="2:11" x14ac:dyDescent="0.2">
      <c r="B57" s="117" t="s">
        <v>338</v>
      </c>
      <c r="C57" s="152"/>
      <c r="D57" s="152"/>
      <c r="E57" s="72"/>
      <c r="G57" s="358">
        <f>D69</f>
        <v>2060</v>
      </c>
      <c r="H57" s="348" t="str">
        <f>CONCATENATE("",E1-1," Ending Cash Balance (est.)")</f>
        <v>2025 Ending Cash Balance (est.)</v>
      </c>
      <c r="I57" s="359"/>
      <c r="J57" s="356"/>
    </row>
    <row r="58" spans="2:11" x14ac:dyDescent="0.2">
      <c r="B58" s="571" t="s">
        <v>339</v>
      </c>
      <c r="C58" s="160" t="str">
        <f>IF(C59*0.1&lt;C57,"Exceed 10% Rule","")</f>
        <v/>
      </c>
      <c r="D58" s="160" t="str">
        <f>IF(D59*0.1&lt;D57,"Exceed 10% Rule","")</f>
        <v/>
      </c>
      <c r="E58" s="167" t="str">
        <f>IF(E59*0.1+E75&lt;E57,"Exceed 10% Rule","")</f>
        <v/>
      </c>
      <c r="G58" s="358">
        <f>E59</f>
        <v>14425</v>
      </c>
      <c r="H58" s="325" t="str">
        <f>CONCATENATE("",E1," Non-AV Receipts (est.)")</f>
        <v>2026 Non-AV Receipts (est.)</v>
      </c>
      <c r="I58" s="359"/>
      <c r="J58" s="356"/>
    </row>
    <row r="59" spans="2:11" x14ac:dyDescent="0.2">
      <c r="B59" s="162" t="s">
        <v>340</v>
      </c>
      <c r="C59" s="164">
        <f>SUM(C44:C57)</f>
        <v>59607</v>
      </c>
      <c r="D59" s="164">
        <f>SUM(D44:D57)</f>
        <v>57810</v>
      </c>
      <c r="E59" s="165">
        <f>SUM(E44:E57)</f>
        <v>14425</v>
      </c>
      <c r="G59" s="360">
        <f>IF(D74&gt;0,E73,E75)</f>
        <v>58515</v>
      </c>
      <c r="H59" s="325" t="str">
        <f>CONCATENATE("",E1," Ad Valorem Tax (est.)")</f>
        <v>2026 Ad Valorem Tax (est.)</v>
      </c>
      <c r="I59" s="359"/>
      <c r="J59" s="356"/>
      <c r="K59" s="406" t="str">
        <f>IF(G59=E75,"","Note: Does not include Delinquent Taxes")</f>
        <v>Note: Does not include Delinquent Taxes</v>
      </c>
    </row>
    <row r="60" spans="2:11" x14ac:dyDescent="0.2">
      <c r="B60" s="162" t="s">
        <v>341</v>
      </c>
      <c r="C60" s="164">
        <f>C42+C59</f>
        <v>60250</v>
      </c>
      <c r="D60" s="164">
        <f>D42+D59</f>
        <v>60060</v>
      </c>
      <c r="E60" s="165">
        <f>E42+E59</f>
        <v>16485</v>
      </c>
      <c r="G60" s="361">
        <f>SUM(G57:G59)</f>
        <v>75000</v>
      </c>
      <c r="H60" s="325" t="str">
        <f>CONCATENATE("Total ",E1," Resources Available")</f>
        <v>Total 2026 Resources Available</v>
      </c>
      <c r="I60" s="356"/>
      <c r="J60" s="356"/>
    </row>
    <row r="61" spans="2:11" x14ac:dyDescent="0.2">
      <c r="B61" s="560" t="s">
        <v>343</v>
      </c>
      <c r="C61" s="166"/>
      <c r="D61" s="166"/>
      <c r="E61" s="49"/>
      <c r="G61" s="362"/>
      <c r="H61" s="363"/>
      <c r="I61" s="324"/>
      <c r="J61" s="356"/>
    </row>
    <row r="62" spans="2:11" x14ac:dyDescent="0.2">
      <c r="B62" s="156" t="s">
        <v>851</v>
      </c>
      <c r="C62" s="152">
        <v>55000</v>
      </c>
      <c r="D62" s="152">
        <v>55000</v>
      </c>
      <c r="E62" s="72">
        <v>70000</v>
      </c>
      <c r="G62" s="364">
        <f>ROUND(C68*0.05+C68,0)</f>
        <v>60900</v>
      </c>
      <c r="H62" s="325" t="str">
        <f>CONCATENATE("Less ",E1-2," Expenditures + 5%")</f>
        <v>Less 2024 Expenditures + 5%</v>
      </c>
      <c r="I62" s="356"/>
      <c r="J62" s="356"/>
    </row>
    <row r="63" spans="2:11" x14ac:dyDescent="0.25">
      <c r="B63" s="156" t="s">
        <v>852</v>
      </c>
      <c r="C63" s="152">
        <v>3000</v>
      </c>
      <c r="D63" s="152">
        <v>3000</v>
      </c>
      <c r="E63" s="72">
        <v>3000</v>
      </c>
      <c r="G63" s="365">
        <f>G60-G62</f>
        <v>14100</v>
      </c>
      <c r="H63" s="412" t="str">
        <f>CONCATENATE("Projected ",E1+1," carryover (est.)")</f>
        <v>Projected 2027 carryover (est.)</v>
      </c>
      <c r="I63" s="367"/>
      <c r="J63" s="368"/>
    </row>
    <row r="64" spans="2:11" x14ac:dyDescent="0.2">
      <c r="B64" s="156"/>
      <c r="C64" s="152"/>
      <c r="D64" s="152"/>
      <c r="E64" s="72"/>
    </row>
    <row r="65" spans="2:10" x14ac:dyDescent="0.2">
      <c r="B65" s="166" t="str">
        <f>CONCATENATE("Cash Reserve (",E1," column)")</f>
        <v>Cash Reserve (2026 column)</v>
      </c>
      <c r="C65" s="152"/>
      <c r="D65" s="152"/>
      <c r="E65" s="72"/>
    </row>
    <row r="66" spans="2:10" x14ac:dyDescent="0.2">
      <c r="B66" s="166" t="s">
        <v>338</v>
      </c>
      <c r="C66" s="152"/>
      <c r="D66" s="152"/>
      <c r="E66" s="72">
        <v>2000</v>
      </c>
      <c r="G66" s="670" t="s">
        <v>348</v>
      </c>
      <c r="H66" s="671"/>
      <c r="I66" s="671"/>
      <c r="J66" s="672"/>
    </row>
    <row r="67" spans="2:10" x14ac:dyDescent="0.2">
      <c r="B67" s="166" t="s">
        <v>349</v>
      </c>
      <c r="C67" s="160" t="str">
        <f>IF(C68*0.1&lt;C66,"Exceed 10% Rule","")</f>
        <v/>
      </c>
      <c r="D67" s="160" t="str">
        <f>IF(D68*0.1&lt;D66,"Exceed 10% Rule","")</f>
        <v/>
      </c>
      <c r="E67" s="167" t="str">
        <f>IF(E68*0.1&lt;E66,"Exceed 10% Rule","")</f>
        <v/>
      </c>
      <c r="G67" s="673"/>
      <c r="H67" s="674"/>
      <c r="I67" s="674"/>
      <c r="J67" s="675"/>
    </row>
    <row r="68" spans="2:10" x14ac:dyDescent="0.2">
      <c r="B68" s="162" t="s">
        <v>351</v>
      </c>
      <c r="C68" s="164">
        <f>SUM(C62:C66)</f>
        <v>58000</v>
      </c>
      <c r="D68" s="164">
        <f>SUM(D62:D66)</f>
        <v>58000</v>
      </c>
      <c r="E68" s="165">
        <f>SUM(E62:E66)</f>
        <v>75000</v>
      </c>
      <c r="G68" s="351" t="e">
        <f>#REF!</f>
        <v>#REF!</v>
      </c>
      <c r="H68" s="348" t="str">
        <f>CONCATENATE("",E1," Estimated Fund Mill Rate")</f>
        <v>2026 Estimated Fund Mill Rate</v>
      </c>
      <c r="I68" s="349"/>
      <c r="J68" s="350"/>
    </row>
    <row r="69" spans="2:10" x14ac:dyDescent="0.2">
      <c r="B69" s="560" t="s">
        <v>352</v>
      </c>
      <c r="C69" s="168">
        <f>C60-C68</f>
        <v>2250</v>
      </c>
      <c r="D69" s="168">
        <f>D60-D68</f>
        <v>2060</v>
      </c>
      <c r="E69" s="175" t="s">
        <v>179</v>
      </c>
      <c r="G69" s="520" t="e">
        <f>#REF!</f>
        <v>#REF!</v>
      </c>
      <c r="H69" s="348" t="str">
        <f>CONCATENATE("",E1-1," Fund Mill Rate")</f>
        <v>2025 Fund Mill Rate</v>
      </c>
      <c r="I69" s="349"/>
      <c r="J69" s="350"/>
    </row>
    <row r="70" spans="2:10" x14ac:dyDescent="0.2">
      <c r="B70" s="121" t="str">
        <f>CONCATENATE("",E1-2,"/",E1-1,"/",E1," Budget Authority Amount:")</f>
        <v>2024/2025/2026 Budget Authority Amount:</v>
      </c>
      <c r="C70" s="180">
        <f>inputOth!B68</f>
        <v>60000</v>
      </c>
      <c r="D70" s="180">
        <f>inputPrYr!D22</f>
        <v>60000</v>
      </c>
      <c r="E70" s="154">
        <f>E68</f>
        <v>75000</v>
      </c>
      <c r="G70" s="521" t="e">
        <f>#REF!</f>
        <v>#REF!</v>
      </c>
      <c r="H70" s="522" t="s">
        <v>350</v>
      </c>
      <c r="I70" s="349"/>
      <c r="J70" s="350"/>
    </row>
    <row r="71" spans="2:10" ht="15.75" customHeight="1" x14ac:dyDescent="0.2">
      <c r="B71" s="564"/>
      <c r="C71" s="661" t="s">
        <v>353</v>
      </c>
      <c r="D71" s="662"/>
      <c r="E71" s="72"/>
      <c r="G71" s="351" t="e">
        <f>#REF!</f>
        <v>#REF!</v>
      </c>
      <c r="H71" s="348" t="str">
        <f>CONCATENATE(E1," Estimated Total Mill Rate")</f>
        <v>2026 Estimated Total Mill Rate</v>
      </c>
      <c r="I71" s="349"/>
      <c r="J71" s="350"/>
    </row>
    <row r="72" spans="2:10" ht="15.75" customHeight="1" x14ac:dyDescent="0.2">
      <c r="B72" s="307" t="str">
        <f>CONCATENATE(C108,"     ",D108)</f>
        <v xml:space="preserve">     </v>
      </c>
      <c r="C72" s="663" t="s">
        <v>355</v>
      </c>
      <c r="D72" s="664"/>
      <c r="E72" s="154">
        <f>E68+E71</f>
        <v>75000</v>
      </c>
      <c r="G72" s="353" t="e">
        <f>#REF!</f>
        <v>#REF!</v>
      </c>
      <c r="H72" s="348" t="str">
        <f>CONCATENATE(E1-1," Total Mill Rate")</f>
        <v>2025 Total Mill Rate</v>
      </c>
      <c r="I72" s="349"/>
      <c r="J72" s="350"/>
    </row>
    <row r="73" spans="2:10" ht="15.75" customHeight="1" x14ac:dyDescent="0.2">
      <c r="B73" s="307" t="str">
        <f>CONCATENATE(C109,"     ",D109)</f>
        <v xml:space="preserve">     </v>
      </c>
      <c r="C73" s="169"/>
      <c r="D73" s="62" t="s">
        <v>356</v>
      </c>
      <c r="E73" s="82">
        <f>IF(E72-E60&gt;0,E72-E60,0)</f>
        <v>58515</v>
      </c>
      <c r="G73" s="355"/>
      <c r="H73" s="324"/>
      <c r="I73" s="324"/>
      <c r="J73" s="356"/>
    </row>
    <row r="74" spans="2:10" ht="15.75" customHeight="1" x14ac:dyDescent="0.2">
      <c r="B74" s="62"/>
      <c r="C74" s="565" t="s">
        <v>357</v>
      </c>
      <c r="D74" s="344">
        <f>inputOth!$E$51</f>
        <v>0.02</v>
      </c>
      <c r="E74" s="154">
        <f>ROUND(IF(D74&gt;0,(E73*D74),0),0)</f>
        <v>1170</v>
      </c>
      <c r="F74" s="176"/>
      <c r="G74" s="676" t="s">
        <v>354</v>
      </c>
      <c r="H74" s="677"/>
      <c r="I74" s="677"/>
      <c r="J74" s="680" t="e">
        <f>IF(G71&gt;G70, "Yes", "No")</f>
        <v>#REF!</v>
      </c>
    </row>
    <row r="75" spans="2:10" ht="15.75" customHeight="1" thickBot="1" x14ac:dyDescent="0.25">
      <c r="B75" s="33"/>
      <c r="C75" s="659" t="str">
        <f>CONCATENATE("Amount of  ",$E$1-1," Ad Valorem Tax")</f>
        <v>Amount of  2025 Ad Valorem Tax</v>
      </c>
      <c r="D75" s="660"/>
      <c r="E75" s="347">
        <f>E73+E74</f>
        <v>59685</v>
      </c>
      <c r="F75" s="415" t="str">
        <f>IF(E68/0.95-E68&lt;E71,"Exceeds 5%","")</f>
        <v/>
      </c>
      <c r="G75" s="678"/>
      <c r="H75" s="679"/>
      <c r="I75" s="679"/>
      <c r="J75" s="681"/>
    </row>
    <row r="76" spans="2:10" ht="15.75" customHeight="1" thickTop="1" x14ac:dyDescent="0.2">
      <c r="B76" s="33"/>
      <c r="C76" s="564"/>
      <c r="D76" s="33"/>
      <c r="E76" s="33"/>
      <c r="G76" s="657" t="e">
        <f>IF(J74="Yes", "Follow procedure prescribed by KSA 79-2988 to exceed the Revenue Neutral Rate.", " ")</f>
        <v>#REF!</v>
      </c>
      <c r="H76" s="657"/>
      <c r="I76" s="657"/>
      <c r="J76" s="657"/>
    </row>
    <row r="77" spans="2:10" x14ac:dyDescent="0.2">
      <c r="B77" s="62" t="s">
        <v>364</v>
      </c>
      <c r="C77" s="462">
        <v>9</v>
      </c>
      <c r="D77" s="33"/>
      <c r="E77" s="33"/>
      <c r="G77" s="590"/>
      <c r="H77" s="590"/>
      <c r="I77" s="590"/>
      <c r="J77" s="590"/>
    </row>
    <row r="78" spans="2:10" x14ac:dyDescent="0.2">
      <c r="B78" s="30"/>
      <c r="G78" s="590"/>
      <c r="H78" s="590"/>
      <c r="I78" s="590"/>
      <c r="J78" s="590"/>
    </row>
    <row r="106" spans="3:4" x14ac:dyDescent="0.2">
      <c r="C106" s="64" t="str">
        <f>IF(C30&gt;C32,"See Tab A","")</f>
        <v/>
      </c>
      <c r="D106" s="64" t="str">
        <f>IF(D30&gt;D32,"See Tab C","")</f>
        <v/>
      </c>
    </row>
    <row r="107" spans="3:4" x14ac:dyDescent="0.2">
      <c r="C107" s="64" t="str">
        <f>IF(C31&lt;0,"See Tab B","")</f>
        <v/>
      </c>
      <c r="D107" s="64" t="str">
        <f>IF(D31&lt;0,"See Tab D","")</f>
        <v/>
      </c>
    </row>
    <row r="108" spans="3:4" x14ac:dyDescent="0.2">
      <c r="C108" s="64" t="str">
        <f>IF(C68&gt;C70,"See Tab A","")</f>
        <v/>
      </c>
      <c r="D108" s="64" t="str">
        <f>IF(D68&gt;D70,"See Tab C","")</f>
        <v/>
      </c>
    </row>
    <row r="109" spans="3:4" x14ac:dyDescent="0.2">
      <c r="C109" s="64" t="str">
        <f>IF(C69&lt;0,"See Tab B","")</f>
        <v/>
      </c>
      <c r="D109" s="64" t="str">
        <f>IF(D69&lt;0,"See Tab D","")</f>
        <v/>
      </c>
    </row>
  </sheetData>
  <mergeCells count="19">
    <mergeCell ref="G76:J76"/>
    <mergeCell ref="G35:I36"/>
    <mergeCell ref="J35:J36"/>
    <mergeCell ref="G37:J37"/>
    <mergeCell ref="G11:J11"/>
    <mergeCell ref="G17:J17"/>
    <mergeCell ref="G27:J28"/>
    <mergeCell ref="G66:J67"/>
    <mergeCell ref="G48:J48"/>
    <mergeCell ref="G55:J55"/>
    <mergeCell ref="G74:I75"/>
    <mergeCell ref="J74:J75"/>
    <mergeCell ref="C33:D33"/>
    <mergeCell ref="C34:D34"/>
    <mergeCell ref="C75:D75"/>
    <mergeCell ref="C37:D37"/>
    <mergeCell ref="C38:D38"/>
    <mergeCell ref="C71:D71"/>
    <mergeCell ref="C72:D72"/>
  </mergeCells>
  <phoneticPr fontId="0" type="noConversion"/>
  <conditionalFormatting sqref="C19">
    <cfRule type="cellIs" dxfId="80" priority="19" stopIfTrue="1" operator="greaterThan">
      <formula>$C$21*0.1</formula>
    </cfRule>
  </conditionalFormatting>
  <conditionalFormatting sqref="C28">
    <cfRule type="cellIs" dxfId="79" priority="9" stopIfTrue="1" operator="greaterThan">
      <formula>$C$30*0.1</formula>
    </cfRule>
  </conditionalFormatting>
  <conditionalFormatting sqref="C30">
    <cfRule type="cellIs" dxfId="78" priority="12" stopIfTrue="1" operator="greaterThan">
      <formula>$C$32</formula>
    </cfRule>
  </conditionalFormatting>
  <conditionalFormatting sqref="C31 C69">
    <cfRule type="cellIs" dxfId="77" priority="13" stopIfTrue="1" operator="lessThan">
      <formula>0</formula>
    </cfRule>
  </conditionalFormatting>
  <conditionalFormatting sqref="C57">
    <cfRule type="cellIs" dxfId="76" priority="21" stopIfTrue="1" operator="greaterThan">
      <formula>$C$59*0.1</formula>
    </cfRule>
  </conditionalFormatting>
  <conditionalFormatting sqref="C66">
    <cfRule type="cellIs" dxfId="75" priority="14" stopIfTrue="1" operator="greaterThan">
      <formula>$C$68*0.1</formula>
    </cfRule>
  </conditionalFormatting>
  <conditionalFormatting sqref="C68">
    <cfRule type="cellIs" dxfId="74" priority="17" stopIfTrue="1" operator="greaterThan">
      <formula>$C$70</formula>
    </cfRule>
  </conditionalFormatting>
  <conditionalFormatting sqref="D19">
    <cfRule type="cellIs" dxfId="73" priority="18" stopIfTrue="1" operator="greaterThan">
      <formula>$D$21*0.1</formula>
    </cfRule>
  </conditionalFormatting>
  <conditionalFormatting sqref="D28">
    <cfRule type="cellIs" dxfId="72" priority="10" stopIfTrue="1" operator="greaterThan">
      <formula>$D$30*0.1</formula>
    </cfRule>
  </conditionalFormatting>
  <conditionalFormatting sqref="D30">
    <cfRule type="cellIs" dxfId="71" priority="11" stopIfTrue="1" operator="greaterThan">
      <formula>$D$32</formula>
    </cfRule>
  </conditionalFormatting>
  <conditionalFormatting sqref="D31 D69">
    <cfRule type="cellIs" dxfId="70" priority="4" stopIfTrue="1" operator="lessThan">
      <formula>0</formula>
    </cfRule>
  </conditionalFormatting>
  <conditionalFormatting sqref="D57">
    <cfRule type="cellIs" dxfId="69" priority="20" stopIfTrue="1" operator="greaterThan">
      <formula>$D$59*0.1</formula>
    </cfRule>
  </conditionalFormatting>
  <conditionalFormatting sqref="D66">
    <cfRule type="cellIs" dxfId="68" priority="15" stopIfTrue="1" operator="greaterThan">
      <formula>$D$68*0.1</formula>
    </cfRule>
  </conditionalFormatting>
  <conditionalFormatting sqref="D68">
    <cfRule type="cellIs" dxfId="67" priority="16" stopIfTrue="1" operator="greaterThan">
      <formula>$D$70</formula>
    </cfRule>
  </conditionalFormatting>
  <conditionalFormatting sqref="E19">
    <cfRule type="cellIs" dxfId="66" priority="22" stopIfTrue="1" operator="greaterThan">
      <formula>$E$21*0.1+E37</formula>
    </cfRule>
  </conditionalFormatting>
  <conditionalFormatting sqref="E28">
    <cfRule type="cellIs" dxfId="65" priority="7" stopIfTrue="1" operator="greaterThan">
      <formula>$E$30*0.1</formula>
    </cfRule>
  </conditionalFormatting>
  <conditionalFormatting sqref="E33">
    <cfRule type="cellIs" dxfId="64" priority="8" stopIfTrue="1" operator="greaterThan">
      <formula>$E$30/0.95-$E$30</formula>
    </cfRule>
  </conditionalFormatting>
  <conditionalFormatting sqref="E57">
    <cfRule type="cellIs" dxfId="63" priority="23" stopIfTrue="1" operator="greaterThan">
      <formula>$E$59*0.1+E75</formula>
    </cfRule>
  </conditionalFormatting>
  <conditionalFormatting sqref="E66">
    <cfRule type="cellIs" dxfId="62" priority="5" stopIfTrue="1" operator="greaterThan">
      <formula>$E$68*0.1</formula>
    </cfRule>
  </conditionalFormatting>
  <conditionalFormatting sqref="E71">
    <cfRule type="cellIs" dxfId="61" priority="6" stopIfTrue="1" operator="greaterThan">
      <formula>$E$68/0.95-$E$68</formula>
    </cfRule>
  </conditionalFormatting>
  <conditionalFormatting sqref="J35">
    <cfRule type="containsText" dxfId="60" priority="2" operator="containsText" text="Yes">
      <formula>NOT(ISERROR(SEARCH("Yes",J35)))</formula>
    </cfRule>
  </conditionalFormatting>
  <conditionalFormatting sqref="J74">
    <cfRule type="containsText" dxfId="59" priority="1" operator="containsText" text="Yes">
      <formula>NOT(ISERROR(SEARCH("Yes",J74)))</formula>
    </cfRule>
  </conditionalFormatting>
  <pageMargins left="0.5" right="0.5" top="1" bottom="0.5" header="0.5" footer="0.5"/>
  <pageSetup scale="57" orientation="portrait" blackAndWhite="1" horizontalDpi="120" verticalDpi="144" r:id="rId1"/>
  <headerFooter alignWithMargins="0">
    <oddHeader>&amp;RState of Kansas
City</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B0F0"/>
    <pageSetUpPr fitToPage="1"/>
  </sheetPr>
  <dimension ref="B1:E60"/>
  <sheetViews>
    <sheetView topLeftCell="A28" zoomScaleNormal="100" workbookViewId="0">
      <selection activeCell="E36" sqref="E36"/>
    </sheetView>
  </sheetViews>
  <sheetFormatPr defaultColWidth="8.88671875" defaultRowHeight="15.75" x14ac:dyDescent="0.25"/>
  <cols>
    <col min="1" max="1" width="2.44140625" style="2" customWidth="1"/>
    <col min="2" max="2" width="31.109375" style="2" customWidth="1"/>
    <col min="3" max="4" width="15.77734375" style="2" customWidth="1"/>
    <col min="5" max="5" width="16.21875" style="2" customWidth="1"/>
    <col min="6" max="16384" width="8.88671875" style="2"/>
  </cols>
  <sheetData>
    <row r="1" spans="2:5" x14ac:dyDescent="0.25">
      <c r="B1" s="11" t="str">
        <f>(inputPrYr!D3)</f>
        <v>City of Concordia</v>
      </c>
      <c r="C1" s="4"/>
      <c r="D1" s="4"/>
      <c r="E1" s="570">
        <f>inputPrYr!C6</f>
        <v>2026</v>
      </c>
    </row>
    <row r="2" spans="2:5" x14ac:dyDescent="0.25">
      <c r="B2" s="4"/>
      <c r="C2" s="4"/>
      <c r="D2" s="4"/>
      <c r="E2" s="5"/>
    </row>
    <row r="3" spans="2:5" x14ac:dyDescent="0.25">
      <c r="B3" s="13" t="s">
        <v>372</v>
      </c>
      <c r="C3" s="14"/>
      <c r="D3" s="14"/>
      <c r="E3" s="14"/>
    </row>
    <row r="4" spans="2:5" x14ac:dyDescent="0.25">
      <c r="B4" s="6" t="s">
        <v>320</v>
      </c>
      <c r="C4" s="149" t="s">
        <v>321</v>
      </c>
      <c r="D4" s="150" t="s">
        <v>268</v>
      </c>
      <c r="E4" s="43" t="s">
        <v>323</v>
      </c>
    </row>
    <row r="5" spans="2:5" x14ac:dyDescent="0.25">
      <c r="B5" s="306" t="str">
        <f>(inputPrYr!B34)</f>
        <v>Special Highway</v>
      </c>
      <c r="C5" s="563" t="str">
        <f>CONCATENATE("Actual for ",E1-2,"")</f>
        <v>Actual for 2024</v>
      </c>
      <c r="D5" s="563" t="str">
        <f>CONCATENATE("Estimate for ",E1-1,"")</f>
        <v>Estimate for 2025</v>
      </c>
      <c r="E5" s="151" t="str">
        <f>CONCATENATE("Year for ",E1,"")</f>
        <v>Year for 2026</v>
      </c>
    </row>
    <row r="6" spans="2:5" x14ac:dyDescent="0.25">
      <c r="B6" s="21" t="s">
        <v>324</v>
      </c>
      <c r="C6" s="3">
        <v>236369</v>
      </c>
      <c r="D6" s="12">
        <f>C26</f>
        <v>214590</v>
      </c>
      <c r="E6" s="12">
        <f>D26</f>
        <v>261010</v>
      </c>
    </row>
    <row r="7" spans="2:5" x14ac:dyDescent="0.25">
      <c r="B7" s="24" t="s">
        <v>325</v>
      </c>
      <c r="C7" s="8"/>
      <c r="D7" s="8"/>
      <c r="E7" s="8"/>
    </row>
    <row r="8" spans="2:5" x14ac:dyDescent="0.25">
      <c r="B8" s="25" t="s">
        <v>373</v>
      </c>
      <c r="C8" s="3">
        <v>136667</v>
      </c>
      <c r="D8" s="16">
        <f>inputOth!E56</f>
        <v>135420</v>
      </c>
      <c r="E8" s="12">
        <f>inputOth!E54</f>
        <v>135420</v>
      </c>
    </row>
    <row r="9" spans="2:5" x14ac:dyDescent="0.25">
      <c r="B9" s="26" t="s">
        <v>374</v>
      </c>
      <c r="C9" s="3">
        <v>0</v>
      </c>
      <c r="D9" s="16">
        <f>inputOth!E57</f>
        <v>0</v>
      </c>
      <c r="E9" s="16">
        <f>inputOth!E55</f>
        <v>0</v>
      </c>
    </row>
    <row r="10" spans="2:5" x14ac:dyDescent="0.25">
      <c r="B10" s="20"/>
      <c r="C10" s="3"/>
      <c r="D10" s="3"/>
      <c r="E10" s="3"/>
    </row>
    <row r="11" spans="2:5" x14ac:dyDescent="0.25">
      <c r="B11" s="22" t="s">
        <v>336</v>
      </c>
      <c r="C11" s="3"/>
      <c r="D11" s="3"/>
      <c r="E11" s="3"/>
    </row>
    <row r="12" spans="2:5" x14ac:dyDescent="0.25">
      <c r="B12" s="27" t="s">
        <v>338</v>
      </c>
      <c r="C12" s="3"/>
      <c r="D12" s="23"/>
      <c r="E12" s="23"/>
    </row>
    <row r="13" spans="2:5" x14ac:dyDescent="0.25">
      <c r="B13" s="21" t="s">
        <v>339</v>
      </c>
      <c r="C13" s="308" t="str">
        <f>IF(C14*0.1&lt;C12,"Exceed 10% Rule","")</f>
        <v/>
      </c>
      <c r="D13" s="28" t="str">
        <f>IF(D14*0.1&lt;D12,"Exceed 10% Rule","")</f>
        <v/>
      </c>
      <c r="E13" s="28" t="str">
        <f>IF(E14*0.1&lt;E12,"Exceed 10% Rule","")</f>
        <v/>
      </c>
    </row>
    <row r="14" spans="2:5" x14ac:dyDescent="0.25">
      <c r="B14" s="17" t="s">
        <v>340</v>
      </c>
      <c r="C14" s="19">
        <f>SUM(C8:C12)</f>
        <v>136667</v>
      </c>
      <c r="D14" s="19">
        <f>SUM(D8:D12)</f>
        <v>135420</v>
      </c>
      <c r="E14" s="19">
        <f>SUM(E8:E12)</f>
        <v>135420</v>
      </c>
    </row>
    <row r="15" spans="2:5" x14ac:dyDescent="0.25">
      <c r="B15" s="17" t="s">
        <v>341</v>
      </c>
      <c r="C15" s="19">
        <f>C6+C14</f>
        <v>373036</v>
      </c>
      <c r="D15" s="19">
        <f>D6+D14</f>
        <v>350010</v>
      </c>
      <c r="E15" s="19">
        <f>E6+E14</f>
        <v>396430</v>
      </c>
    </row>
    <row r="16" spans="2:5" x14ac:dyDescent="0.25">
      <c r="B16" s="7" t="s">
        <v>343</v>
      </c>
      <c r="C16" s="12"/>
      <c r="D16" s="12"/>
      <c r="E16" s="12"/>
    </row>
    <row r="17" spans="2:5" x14ac:dyDescent="0.25">
      <c r="B17" s="20" t="s">
        <v>851</v>
      </c>
      <c r="C17" s="3">
        <v>37327</v>
      </c>
      <c r="D17" s="3">
        <v>2000</v>
      </c>
      <c r="E17" s="3">
        <v>12100</v>
      </c>
    </row>
    <row r="18" spans="2:5" x14ac:dyDescent="0.25">
      <c r="B18" s="20" t="s">
        <v>855</v>
      </c>
      <c r="C18" s="3">
        <v>79119</v>
      </c>
      <c r="D18" s="3">
        <v>45000</v>
      </c>
      <c r="E18" s="3">
        <v>85000</v>
      </c>
    </row>
    <row r="19" spans="2:5" x14ac:dyDescent="0.25">
      <c r="B19" s="20" t="s">
        <v>856</v>
      </c>
      <c r="C19" s="3">
        <v>42000</v>
      </c>
      <c r="D19" s="3">
        <v>42000</v>
      </c>
      <c r="E19" s="3">
        <v>42000</v>
      </c>
    </row>
    <row r="20" spans="2:5" x14ac:dyDescent="0.25">
      <c r="B20" s="20" t="s">
        <v>857</v>
      </c>
      <c r="C20" s="3">
        <v>0</v>
      </c>
      <c r="D20" s="3"/>
      <c r="E20" s="3">
        <v>257330</v>
      </c>
    </row>
    <row r="21" spans="2:5" x14ac:dyDescent="0.25">
      <c r="B21" s="20"/>
      <c r="C21" s="3"/>
      <c r="D21" s="3"/>
      <c r="E21" s="3"/>
    </row>
    <row r="22" spans="2:5" x14ac:dyDescent="0.25">
      <c r="B22" s="25" t="str">
        <f>CONCATENATE("Cash Reserve (",E1," column)")</f>
        <v>Cash Reserve (2026 column)</v>
      </c>
      <c r="C22" s="3"/>
      <c r="D22" s="3"/>
      <c r="E22" s="3"/>
    </row>
    <row r="23" spans="2:5" x14ac:dyDescent="0.25">
      <c r="B23" s="25" t="s">
        <v>338</v>
      </c>
      <c r="C23" s="3"/>
      <c r="D23" s="23"/>
      <c r="E23" s="23"/>
    </row>
    <row r="24" spans="2:5" x14ac:dyDescent="0.25">
      <c r="B24" s="25" t="s">
        <v>349</v>
      </c>
      <c r="C24" s="308" t="str">
        <f>IF(C25*0.1&lt;C23,"Exceed 10% Rule","")</f>
        <v/>
      </c>
      <c r="D24" s="28" t="str">
        <f>IF(D25*0.1&lt;D23,"Exceed 10% Rule","")</f>
        <v/>
      </c>
      <c r="E24" s="28" t="str">
        <f>IF(E25*0.1&lt;E23,"Exceed 10% Rule","")</f>
        <v/>
      </c>
    </row>
    <row r="25" spans="2:5" x14ac:dyDescent="0.25">
      <c r="B25" s="17" t="s">
        <v>351</v>
      </c>
      <c r="C25" s="19">
        <f>SUM(C17:C23)</f>
        <v>158446</v>
      </c>
      <c r="D25" s="19">
        <f>SUM(D17:D23)</f>
        <v>89000</v>
      </c>
      <c r="E25" s="19">
        <f>SUM(E17:E23)</f>
        <v>396430</v>
      </c>
    </row>
    <row r="26" spans="2:5" x14ac:dyDescent="0.25">
      <c r="B26" s="7" t="s">
        <v>352</v>
      </c>
      <c r="C26" s="18">
        <f>C15-C25</f>
        <v>214590</v>
      </c>
      <c r="D26" s="18">
        <f>D15-D25</f>
        <v>261010</v>
      </c>
      <c r="E26" s="18">
        <f>E15-E25</f>
        <v>0</v>
      </c>
    </row>
    <row r="27" spans="2:5" x14ac:dyDescent="0.25">
      <c r="B27" s="426" t="str">
        <f>CONCATENATE("",E1-2,"/",E1-1,"/",E1," Budget Authority Amount:")</f>
        <v>2024/2025/2026 Budget Authority Amount:</v>
      </c>
      <c r="C27" s="425">
        <f>inputOth!B77</f>
        <v>382796</v>
      </c>
      <c r="D27" s="425">
        <f>inputPrYr!D34</f>
        <v>417359</v>
      </c>
      <c r="E27" s="427">
        <f>E25</f>
        <v>396430</v>
      </c>
    </row>
    <row r="28" spans="2:5" x14ac:dyDescent="0.25">
      <c r="B28" s="570"/>
      <c r="C28" s="169" t="str">
        <f>IF(C25&gt;C27,"See Tab A","")</f>
        <v/>
      </c>
      <c r="D28" s="169" t="str">
        <f>IF(D25&gt;D27,"See Tab C","")</f>
        <v/>
      </c>
      <c r="E28" s="428" t="str">
        <f>IF(E26&lt;0,"See Tab E","")</f>
        <v/>
      </c>
    </row>
    <row r="29" spans="2:5" x14ac:dyDescent="0.25">
      <c r="B29" s="570"/>
      <c r="C29" s="169" t="str">
        <f>IF(C26&lt;0,"See Tab B","")</f>
        <v/>
      </c>
      <c r="D29" s="169" t="str">
        <f>IF(D26&lt;0,"See Tab D","")</f>
        <v/>
      </c>
      <c r="E29" s="10"/>
    </row>
    <row r="30" spans="2:5" x14ac:dyDescent="0.25">
      <c r="B30" s="4"/>
      <c r="C30" s="10"/>
      <c r="D30" s="10"/>
      <c r="E30" s="10"/>
    </row>
    <row r="31" spans="2:5" x14ac:dyDescent="0.25">
      <c r="B31" s="6" t="s">
        <v>320</v>
      </c>
      <c r="C31" s="15"/>
      <c r="D31" s="15"/>
      <c r="E31" s="15"/>
    </row>
    <row r="32" spans="2:5" x14ac:dyDescent="0.25">
      <c r="B32" s="4"/>
      <c r="C32" s="149" t="s">
        <v>321</v>
      </c>
      <c r="D32" s="150" t="s">
        <v>322</v>
      </c>
      <c r="E32" s="43" t="s">
        <v>323</v>
      </c>
    </row>
    <row r="33" spans="2:5" x14ac:dyDescent="0.25">
      <c r="B33" s="306" t="str">
        <f>(inputPrYr!B35)</f>
        <v>RHID</v>
      </c>
      <c r="C33" s="563" t="str">
        <f>C5</f>
        <v>Actual for 2024</v>
      </c>
      <c r="D33" s="563" t="str">
        <f>D5</f>
        <v>Estimate for 2025</v>
      </c>
      <c r="E33" s="151" t="str">
        <f>E5</f>
        <v>Year for 2026</v>
      </c>
    </row>
    <row r="34" spans="2:5" x14ac:dyDescent="0.25">
      <c r="B34" s="21" t="s">
        <v>324</v>
      </c>
      <c r="C34" s="3">
        <v>0</v>
      </c>
      <c r="D34" s="12">
        <f>C53</f>
        <v>0</v>
      </c>
      <c r="E34" s="12">
        <f>D53</f>
        <v>0</v>
      </c>
    </row>
    <row r="35" spans="2:5" x14ac:dyDescent="0.25">
      <c r="B35" s="24" t="s">
        <v>325</v>
      </c>
      <c r="C35" s="8"/>
      <c r="D35" s="8"/>
      <c r="E35" s="8"/>
    </row>
    <row r="36" spans="2:5" x14ac:dyDescent="0.25">
      <c r="B36" s="20" t="s">
        <v>859</v>
      </c>
      <c r="C36" s="3">
        <v>0</v>
      </c>
      <c r="D36" s="3"/>
      <c r="E36" s="12">
        <v>0</v>
      </c>
    </row>
    <row r="37" spans="2:5" x14ac:dyDescent="0.25">
      <c r="B37" s="20" t="s">
        <v>905</v>
      </c>
      <c r="C37" s="3"/>
      <c r="D37" s="3"/>
      <c r="E37" s="3">
        <v>3418</v>
      </c>
    </row>
    <row r="38" spans="2:5" x14ac:dyDescent="0.25">
      <c r="B38" s="20"/>
      <c r="C38" s="3"/>
      <c r="D38" s="3"/>
      <c r="E38" s="3"/>
    </row>
    <row r="39" spans="2:5" x14ac:dyDescent="0.25">
      <c r="B39" s="20"/>
      <c r="C39" s="3"/>
      <c r="D39" s="3"/>
      <c r="E39" s="3"/>
    </row>
    <row r="40" spans="2:5" x14ac:dyDescent="0.25">
      <c r="B40" s="22" t="s">
        <v>336</v>
      </c>
      <c r="C40" s="3"/>
      <c r="D40" s="3"/>
      <c r="E40" s="3"/>
    </row>
    <row r="41" spans="2:5" x14ac:dyDescent="0.25">
      <c r="B41" s="27" t="s">
        <v>338</v>
      </c>
      <c r="C41" s="3"/>
      <c r="D41" s="23"/>
      <c r="E41" s="23"/>
    </row>
    <row r="42" spans="2:5" x14ac:dyDescent="0.25">
      <c r="B42" s="21" t="s">
        <v>339</v>
      </c>
      <c r="C42" s="308" t="str">
        <f>IF(C43*0.1&lt;C41,"Exceed 10% Rule","")</f>
        <v/>
      </c>
      <c r="D42" s="28" t="str">
        <f>IF(D43*0.1&lt;D41,"Exceed 10% Rule","")</f>
        <v/>
      </c>
      <c r="E42" s="28" t="str">
        <f>IF(E43*0.1&lt;E41,"Exceed 10% Rule","")</f>
        <v/>
      </c>
    </row>
    <row r="43" spans="2:5" x14ac:dyDescent="0.25">
      <c r="B43" s="17" t="s">
        <v>340</v>
      </c>
      <c r="C43" s="19">
        <f>SUM(C36:C41)</f>
        <v>0</v>
      </c>
      <c r="D43" s="19">
        <f>SUM(D36:D41)</f>
        <v>0</v>
      </c>
      <c r="E43" s="19">
        <f>SUM(E36:E41)</f>
        <v>3418</v>
      </c>
    </row>
    <row r="44" spans="2:5" x14ac:dyDescent="0.25">
      <c r="B44" s="17" t="s">
        <v>341</v>
      </c>
      <c r="C44" s="19">
        <f>C34+C43</f>
        <v>0</v>
      </c>
      <c r="D44" s="19">
        <f>D34+D43</f>
        <v>0</v>
      </c>
      <c r="E44" s="19">
        <f>E34+E43</f>
        <v>3418</v>
      </c>
    </row>
    <row r="45" spans="2:5" x14ac:dyDescent="0.25">
      <c r="B45" s="7" t="s">
        <v>343</v>
      </c>
      <c r="C45" s="12"/>
      <c r="D45" s="12"/>
      <c r="E45" s="12"/>
    </row>
    <row r="46" spans="2:5" x14ac:dyDescent="0.25">
      <c r="B46" s="20" t="s">
        <v>870</v>
      </c>
      <c r="C46" s="3"/>
      <c r="D46" s="3"/>
      <c r="E46" s="3">
        <v>3418</v>
      </c>
    </row>
    <row r="47" spans="2:5" x14ac:dyDescent="0.25">
      <c r="B47" s="20"/>
      <c r="C47" s="3"/>
      <c r="D47" s="3"/>
      <c r="E47" s="3"/>
    </row>
    <row r="48" spans="2:5" x14ac:dyDescent="0.25">
      <c r="B48" s="20"/>
      <c r="C48" s="3"/>
      <c r="D48" s="3"/>
      <c r="E48" s="3"/>
    </row>
    <row r="49" spans="2:5" x14ac:dyDescent="0.25">
      <c r="B49" s="478" t="str">
        <f>CONCATENATE("Cash Reserve (",E1," column)")</f>
        <v>Cash Reserve (2026 column)</v>
      </c>
      <c r="C49" s="3"/>
      <c r="D49" s="3"/>
      <c r="E49" s="3"/>
    </row>
    <row r="50" spans="2:5" x14ac:dyDescent="0.25">
      <c r="B50" s="25" t="s">
        <v>338</v>
      </c>
      <c r="C50" s="3"/>
      <c r="D50" s="23"/>
      <c r="E50" s="23"/>
    </row>
    <row r="51" spans="2:5" x14ac:dyDescent="0.25">
      <c r="B51" s="25" t="s">
        <v>349</v>
      </c>
      <c r="C51" s="308" t="str">
        <f>IF(C52*0.1&lt;C50,"Exceed 10% Rule","")</f>
        <v/>
      </c>
      <c r="D51" s="28" t="str">
        <f>IF(D52*0.1&lt;D50,"Exceed 10% Rule","")</f>
        <v/>
      </c>
      <c r="E51" s="28" t="str">
        <f>IF(E52*0.1&lt;E50,"Exceed 10% Rule","")</f>
        <v/>
      </c>
    </row>
    <row r="52" spans="2:5" x14ac:dyDescent="0.25">
      <c r="B52" s="17" t="s">
        <v>351</v>
      </c>
      <c r="C52" s="19">
        <f>SUM(C46:C50)</f>
        <v>0</v>
      </c>
      <c r="D52" s="19">
        <f>SUM(D46:D50)</f>
        <v>0</v>
      </c>
      <c r="E52" s="19">
        <f>SUM(E46:E50)</f>
        <v>3418</v>
      </c>
    </row>
    <row r="53" spans="2:5" x14ac:dyDescent="0.25">
      <c r="B53" s="7" t="s">
        <v>352</v>
      </c>
      <c r="C53" s="18">
        <f>C44-C52</f>
        <v>0</v>
      </c>
      <c r="D53" s="18">
        <f>D44-D52</f>
        <v>0</v>
      </c>
      <c r="E53" s="18">
        <f>E44-E52</f>
        <v>0</v>
      </c>
    </row>
    <row r="54" spans="2:5" x14ac:dyDescent="0.25">
      <c r="B54" s="426" t="str">
        <f>CONCATENATE("",E1-2,"/",E1-1,"/",E1," Budget Authority Amount:")</f>
        <v>2024/2025/2026 Budget Authority Amount:</v>
      </c>
      <c r="C54" s="425">
        <f>inputOth!B78</f>
        <v>0</v>
      </c>
      <c r="D54" s="425">
        <f>inputPrYr!D35</f>
        <v>0</v>
      </c>
      <c r="E54" s="427">
        <f>E52</f>
        <v>3418</v>
      </c>
    </row>
    <row r="55" spans="2:5" x14ac:dyDescent="0.25">
      <c r="B55" s="570"/>
      <c r="C55" s="169" t="str">
        <f>IF(C52&gt;C54,"See Tab A","")</f>
        <v/>
      </c>
      <c r="D55" s="169" t="str">
        <f>IF(D52&gt;D54,"See Tab C","")</f>
        <v/>
      </c>
      <c r="E55" s="428" t="str">
        <f>IF(E53&lt;0,"See Tab E","")</f>
        <v/>
      </c>
    </row>
    <row r="56" spans="2:5" x14ac:dyDescent="0.25">
      <c r="B56" s="496" t="s">
        <v>160</v>
      </c>
      <c r="C56" s="482" t="str">
        <f>IF(C53&lt;0,"See Tab B","")</f>
        <v/>
      </c>
      <c r="D56" s="482" t="str">
        <f>IF(D53&lt;0,"See Tab D","")</f>
        <v/>
      </c>
      <c r="E56" s="483"/>
    </row>
    <row r="57" spans="2:5" x14ac:dyDescent="0.25">
      <c r="B57" s="9"/>
      <c r="C57" s="4"/>
      <c r="D57" s="4"/>
      <c r="E57" s="484"/>
    </row>
    <row r="58" spans="2:5" x14ac:dyDescent="0.25">
      <c r="B58" s="485"/>
      <c r="C58" s="486"/>
      <c r="D58" s="486"/>
      <c r="E58" s="487"/>
    </row>
    <row r="59" spans="2:5" x14ac:dyDescent="0.25">
      <c r="B59" s="4"/>
      <c r="C59" s="4"/>
      <c r="D59" s="4"/>
      <c r="E59" s="4"/>
    </row>
    <row r="60" spans="2:5" x14ac:dyDescent="0.25">
      <c r="B60" s="5" t="s">
        <v>364</v>
      </c>
      <c r="C60" s="463">
        <v>10</v>
      </c>
      <c r="D60" s="4"/>
      <c r="E60" s="4"/>
    </row>
  </sheetData>
  <phoneticPr fontId="0" type="noConversion"/>
  <conditionalFormatting sqref="C12">
    <cfRule type="cellIs" dxfId="58" priority="3" stopIfTrue="1" operator="greaterThan">
      <formula>$C$14*0.1</formula>
    </cfRule>
  </conditionalFormatting>
  <conditionalFormatting sqref="C23">
    <cfRule type="cellIs" dxfId="57" priority="6" stopIfTrue="1" operator="greaterThan">
      <formula>$C$25*0.1</formula>
    </cfRule>
  </conditionalFormatting>
  <conditionalFormatting sqref="C25">
    <cfRule type="cellIs" dxfId="56" priority="19" stopIfTrue="1" operator="greaterThan">
      <formula>$C$27</formula>
    </cfRule>
  </conditionalFormatting>
  <conditionalFormatting sqref="C26 E26 C53 E53">
    <cfRule type="cellIs" dxfId="55" priority="17" stopIfTrue="1" operator="lessThan">
      <formula>0</formula>
    </cfRule>
  </conditionalFormatting>
  <conditionalFormatting sqref="C41">
    <cfRule type="cellIs" dxfId="54" priority="9" stopIfTrue="1" operator="greaterThan">
      <formula>$C$43*0.1</formula>
    </cfRule>
  </conditionalFormatting>
  <conditionalFormatting sqref="C50">
    <cfRule type="cellIs" dxfId="53" priority="12" stopIfTrue="1" operator="greaterThan">
      <formula>$C$52*0.1</formula>
    </cfRule>
  </conditionalFormatting>
  <conditionalFormatting sqref="C52">
    <cfRule type="cellIs" dxfId="52" priority="16" stopIfTrue="1" operator="greaterThan">
      <formula>$C$54</formula>
    </cfRule>
  </conditionalFormatting>
  <conditionalFormatting sqref="D12">
    <cfRule type="cellIs" dxfId="51" priority="4" stopIfTrue="1" operator="greaterThan">
      <formula>$D$14*0.1</formula>
    </cfRule>
  </conditionalFormatting>
  <conditionalFormatting sqref="D23">
    <cfRule type="cellIs" dxfId="50" priority="7" stopIfTrue="1" operator="greaterThan">
      <formula>$D$25*0.1</formula>
    </cfRule>
  </conditionalFormatting>
  <conditionalFormatting sqref="D25">
    <cfRule type="cellIs" dxfId="49" priority="18" stopIfTrue="1" operator="greaterThan">
      <formula>$D$27</formula>
    </cfRule>
  </conditionalFormatting>
  <conditionalFormatting sqref="D26">
    <cfRule type="cellIs" dxfId="48" priority="2" stopIfTrue="1" operator="lessThan">
      <formula>0</formula>
    </cfRule>
  </conditionalFormatting>
  <conditionalFormatting sqref="D41">
    <cfRule type="cellIs" dxfId="47" priority="10" stopIfTrue="1" operator="greaterThan">
      <formula>$D$43*0.1</formula>
    </cfRule>
  </conditionalFormatting>
  <conditionalFormatting sqref="D50">
    <cfRule type="cellIs" dxfId="46" priority="13" stopIfTrue="1" operator="greaterThan">
      <formula>$D$52*0.1</formula>
    </cfRule>
  </conditionalFormatting>
  <conditionalFormatting sqref="D52">
    <cfRule type="cellIs" dxfId="45" priority="15" stopIfTrue="1" operator="greaterThan">
      <formula>$D$54</formula>
    </cfRule>
  </conditionalFormatting>
  <conditionalFormatting sqref="D53">
    <cfRule type="cellIs" dxfId="44" priority="1" stopIfTrue="1" operator="lessThan">
      <formula>0</formula>
    </cfRule>
  </conditionalFormatting>
  <conditionalFormatting sqref="E12">
    <cfRule type="cellIs" dxfId="43" priority="5" stopIfTrue="1" operator="greaterThan">
      <formula>$E$14*0.1</formula>
    </cfRule>
  </conditionalFormatting>
  <conditionalFormatting sqref="E23">
    <cfRule type="cellIs" dxfId="42" priority="8" stopIfTrue="1" operator="greaterThan">
      <formula>$E$25*0.1</formula>
    </cfRule>
  </conditionalFormatting>
  <conditionalFormatting sqref="E41">
    <cfRule type="cellIs" dxfId="41" priority="11" stopIfTrue="1" operator="greaterThan">
      <formula>$E$43*0.1</formula>
    </cfRule>
  </conditionalFormatting>
  <conditionalFormatting sqref="E50">
    <cfRule type="cellIs" dxfId="40" priority="14" stopIfTrue="1" operator="greaterThan">
      <formula>$E$52*0.1</formula>
    </cfRule>
  </conditionalFormatting>
  <pageMargins left="0.5" right="0.5" top="1" bottom="0.5" header="0.5" footer="0.5"/>
  <pageSetup scale="72" orientation="portrait" blackAndWhite="1" horizontalDpi="120" verticalDpi="144" r:id="rId1"/>
  <headerFooter alignWithMargins="0">
    <oddHeader>&amp;RState of Kansas
City</oddHead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B0F0"/>
    <pageSetUpPr fitToPage="1"/>
  </sheetPr>
  <dimension ref="B1:E59"/>
  <sheetViews>
    <sheetView topLeftCell="A25" workbookViewId="0">
      <selection activeCell="E13" sqref="E13"/>
    </sheetView>
  </sheetViews>
  <sheetFormatPr defaultColWidth="8.88671875" defaultRowHeight="15.75" x14ac:dyDescent="0.25"/>
  <cols>
    <col min="1" max="1" width="2.44140625" style="2" customWidth="1"/>
    <col min="2" max="2" width="31.109375" style="2" customWidth="1"/>
    <col min="3" max="4" width="15.77734375" style="2" customWidth="1"/>
    <col min="5" max="5" width="16.33203125" style="2" customWidth="1"/>
    <col min="6" max="16384" width="8.88671875" style="2"/>
  </cols>
  <sheetData>
    <row r="1" spans="2:5" x14ac:dyDescent="0.25">
      <c r="B1" s="11" t="str">
        <f>(inputPrYr!D3)</f>
        <v>City of Concordia</v>
      </c>
      <c r="C1" s="4"/>
      <c r="D1" s="4"/>
      <c r="E1" s="570">
        <f>inputPrYr!C6</f>
        <v>2026</v>
      </c>
    </row>
    <row r="2" spans="2:5" x14ac:dyDescent="0.25">
      <c r="B2" s="4"/>
      <c r="C2" s="4"/>
      <c r="D2" s="4"/>
      <c r="E2" s="5"/>
    </row>
    <row r="3" spans="2:5" x14ac:dyDescent="0.25">
      <c r="B3" s="13" t="s">
        <v>372</v>
      </c>
      <c r="C3" s="14"/>
      <c r="D3" s="14"/>
      <c r="E3" s="14"/>
    </row>
    <row r="4" spans="2:5" x14ac:dyDescent="0.25">
      <c r="B4" s="6" t="s">
        <v>320</v>
      </c>
      <c r="C4" s="149" t="s">
        <v>321</v>
      </c>
      <c r="D4" s="150" t="s">
        <v>268</v>
      </c>
      <c r="E4" s="43" t="s">
        <v>323</v>
      </c>
    </row>
    <row r="5" spans="2:5" x14ac:dyDescent="0.25">
      <c r="B5" s="306" t="str">
        <f>(inputPrYr!B36)</f>
        <v>Special Parks &amp; Rec</v>
      </c>
      <c r="C5" s="563" t="str">
        <f>CONCATENATE("Actual for ",E1-2,"")</f>
        <v>Actual for 2024</v>
      </c>
      <c r="D5" s="563" t="str">
        <f>CONCATENATE("Estimate for ",E1-1,"")</f>
        <v>Estimate for 2025</v>
      </c>
      <c r="E5" s="151" t="str">
        <f>CONCATENATE("Year for ",E1,"")</f>
        <v>Year for 2026</v>
      </c>
    </row>
    <row r="6" spans="2:5" x14ac:dyDescent="0.25">
      <c r="B6" s="21" t="s">
        <v>324</v>
      </c>
      <c r="C6" s="3">
        <v>36787</v>
      </c>
      <c r="D6" s="12">
        <f>C25</f>
        <v>53196</v>
      </c>
      <c r="E6" s="12">
        <f>D25</f>
        <v>39196</v>
      </c>
    </row>
    <row r="7" spans="2:5" x14ac:dyDescent="0.25">
      <c r="B7" s="24" t="s">
        <v>325</v>
      </c>
      <c r="C7" s="8"/>
      <c r="D7" s="8"/>
      <c r="E7" s="8"/>
    </row>
    <row r="8" spans="2:5" x14ac:dyDescent="0.25">
      <c r="B8" s="20" t="s">
        <v>860</v>
      </c>
      <c r="C8" s="3">
        <v>16409</v>
      </c>
      <c r="D8" s="3">
        <v>16000</v>
      </c>
      <c r="E8" s="3">
        <v>15980</v>
      </c>
    </row>
    <row r="9" spans="2:5" x14ac:dyDescent="0.25">
      <c r="B9" s="20"/>
      <c r="C9" s="3"/>
      <c r="D9" s="3"/>
      <c r="E9" s="3"/>
    </row>
    <row r="10" spans="2:5" x14ac:dyDescent="0.25">
      <c r="B10" s="22" t="s">
        <v>336</v>
      </c>
      <c r="C10" s="3"/>
      <c r="D10" s="3"/>
      <c r="E10" s="3"/>
    </row>
    <row r="11" spans="2:5" x14ac:dyDescent="0.25">
      <c r="B11" s="27" t="s">
        <v>338</v>
      </c>
      <c r="C11" s="3"/>
      <c r="D11" s="23"/>
      <c r="E11" s="23"/>
    </row>
    <row r="12" spans="2:5" x14ac:dyDescent="0.25">
      <c r="B12" s="21" t="s">
        <v>339</v>
      </c>
      <c r="C12" s="308" t="str">
        <f>IF(C13*0.1&lt;C11,"Exceed 10% Rule","")</f>
        <v/>
      </c>
      <c r="D12" s="28" t="str">
        <f>IF(D13*0.1&lt;D11,"Exceed 10% Rule","")</f>
        <v/>
      </c>
      <c r="E12" s="28" t="str">
        <f>IF(E13*0.1&lt;E11,"Exceed 10% Rule","")</f>
        <v/>
      </c>
    </row>
    <row r="13" spans="2:5" x14ac:dyDescent="0.25">
      <c r="B13" s="17" t="s">
        <v>340</v>
      </c>
      <c r="C13" s="19">
        <f>SUM(C8:C11)</f>
        <v>16409</v>
      </c>
      <c r="D13" s="19">
        <f>SUM(D8:D11)</f>
        <v>16000</v>
      </c>
      <c r="E13" s="19">
        <f>SUM(E8:E11)</f>
        <v>15980</v>
      </c>
    </row>
    <row r="14" spans="2:5" x14ac:dyDescent="0.25">
      <c r="B14" s="17" t="s">
        <v>341</v>
      </c>
      <c r="C14" s="19">
        <f>C6+C13</f>
        <v>53196</v>
      </c>
      <c r="D14" s="19">
        <f>D6+D13</f>
        <v>69196</v>
      </c>
      <c r="E14" s="19">
        <f>E6+E13</f>
        <v>55176</v>
      </c>
    </row>
    <row r="15" spans="2:5" x14ac:dyDescent="0.25">
      <c r="B15" s="7" t="s">
        <v>343</v>
      </c>
      <c r="C15" s="12"/>
      <c r="D15" s="12"/>
      <c r="E15" s="12"/>
    </row>
    <row r="16" spans="2:5" x14ac:dyDescent="0.25">
      <c r="B16" s="20" t="s">
        <v>851</v>
      </c>
      <c r="C16" s="3"/>
      <c r="D16" s="3"/>
      <c r="E16" s="3"/>
    </row>
    <row r="17" spans="2:5" x14ac:dyDescent="0.25">
      <c r="B17" s="20" t="s">
        <v>855</v>
      </c>
      <c r="C17" s="3"/>
      <c r="D17" s="3"/>
      <c r="E17" s="3"/>
    </row>
    <row r="18" spans="2:5" x14ac:dyDescent="0.25">
      <c r="B18" s="20" t="s">
        <v>861</v>
      </c>
      <c r="C18" s="3"/>
      <c r="D18" s="3">
        <v>30000</v>
      </c>
      <c r="E18" s="3">
        <v>55176</v>
      </c>
    </row>
    <row r="19" spans="2:5" x14ac:dyDescent="0.25">
      <c r="B19" s="20"/>
      <c r="C19" s="3"/>
      <c r="D19" s="3"/>
      <c r="E19" s="3"/>
    </row>
    <row r="20" spans="2:5" x14ac:dyDescent="0.25">
      <c r="B20" s="20"/>
      <c r="C20" s="3"/>
      <c r="D20" s="3"/>
      <c r="E20" s="3"/>
    </row>
    <row r="21" spans="2:5" x14ac:dyDescent="0.25">
      <c r="B21" s="25" t="str">
        <f>CONCATENATE("Cash Reserve (",E1," column)")</f>
        <v>Cash Reserve (2026 column)</v>
      </c>
      <c r="C21" s="3"/>
      <c r="D21" s="3"/>
      <c r="E21" s="3"/>
    </row>
    <row r="22" spans="2:5" x14ac:dyDescent="0.25">
      <c r="B22" s="25" t="s">
        <v>338</v>
      </c>
      <c r="C22" s="3"/>
      <c r="D22" s="23"/>
      <c r="E22" s="23"/>
    </row>
    <row r="23" spans="2:5" x14ac:dyDescent="0.25">
      <c r="B23" s="25" t="s">
        <v>349</v>
      </c>
      <c r="C23" s="308" t="str">
        <f>IF(C24*0.1&lt;C22,"Exceed 10% Rule","")</f>
        <v/>
      </c>
      <c r="D23" s="28" t="str">
        <f>IF(D24*0.1&lt;D22,"Exceed 10% Rule","")</f>
        <v/>
      </c>
      <c r="E23" s="28" t="str">
        <f>IF(E24*0.1&lt;E22,"Exceed 10% Rule","")</f>
        <v/>
      </c>
    </row>
    <row r="24" spans="2:5" x14ac:dyDescent="0.25">
      <c r="B24" s="17" t="s">
        <v>351</v>
      </c>
      <c r="C24" s="19">
        <f>SUM(C16:C22)</f>
        <v>0</v>
      </c>
      <c r="D24" s="19">
        <f>SUM(D16:D22)</f>
        <v>30000</v>
      </c>
      <c r="E24" s="19">
        <f>SUM(E16:E22)</f>
        <v>55176</v>
      </c>
    </row>
    <row r="25" spans="2:5" x14ac:dyDescent="0.25">
      <c r="B25" s="7" t="s">
        <v>352</v>
      </c>
      <c r="C25" s="18">
        <f>C14-C24</f>
        <v>53196</v>
      </c>
      <c r="D25" s="18">
        <f>D14-D24</f>
        <v>39196</v>
      </c>
      <c r="E25" s="18">
        <f>E14-E24</f>
        <v>0</v>
      </c>
    </row>
    <row r="26" spans="2:5" x14ac:dyDescent="0.25">
      <c r="B26" s="426" t="str">
        <f>CONCATENATE("",E1-2,"/",E1-1,"/",E1," Budget Authority Amount:")</f>
        <v>2024/2025/2026 Budget Authority Amount:</v>
      </c>
      <c r="C26" s="425">
        <f>inputOth!B79</f>
        <v>25246</v>
      </c>
      <c r="D26" s="425">
        <f>inputPrYr!D36</f>
        <v>64182</v>
      </c>
      <c r="E26" s="427">
        <f>E24</f>
        <v>55176</v>
      </c>
    </row>
    <row r="27" spans="2:5" x14ac:dyDescent="0.25">
      <c r="B27" s="570"/>
      <c r="C27" s="169" t="str">
        <f>IF(C24&gt;C26,"See Tab A","")</f>
        <v/>
      </c>
      <c r="D27" s="169" t="str">
        <f>IF(D24&gt;D26,"See Tab C","")</f>
        <v/>
      </c>
      <c r="E27" s="428" t="str">
        <f>IF(E25&lt;0,"See Tab E","")</f>
        <v/>
      </c>
    </row>
    <row r="28" spans="2:5" x14ac:dyDescent="0.25">
      <c r="B28" s="570"/>
      <c r="C28" s="169" t="str">
        <f>IF(C25&lt;0,"See Tab B","")</f>
        <v/>
      </c>
      <c r="D28" s="169" t="str">
        <f>IF(D25&lt;0,"See Tab D","")</f>
        <v/>
      </c>
      <c r="E28" s="10"/>
    </row>
    <row r="29" spans="2:5" x14ac:dyDescent="0.25">
      <c r="B29" s="4"/>
      <c r="C29" s="10"/>
      <c r="D29" s="10"/>
      <c r="E29" s="10"/>
    </row>
    <row r="30" spans="2:5" x14ac:dyDescent="0.25">
      <c r="B30" s="6" t="s">
        <v>320</v>
      </c>
      <c r="C30" s="15"/>
      <c r="D30" s="15"/>
      <c r="E30" s="15"/>
    </row>
    <row r="31" spans="2:5" x14ac:dyDescent="0.25">
      <c r="B31" s="4"/>
      <c r="C31" s="149" t="s">
        <v>321</v>
      </c>
      <c r="D31" s="150" t="s">
        <v>322</v>
      </c>
      <c r="E31" s="43" t="s">
        <v>323</v>
      </c>
    </row>
    <row r="32" spans="2:5" x14ac:dyDescent="0.25">
      <c r="B32" s="306" t="str">
        <f>(inputPrYr!B37)</f>
        <v>911 PSAP</v>
      </c>
      <c r="C32" s="563" t="str">
        <f>C5</f>
        <v>Actual for 2024</v>
      </c>
      <c r="D32" s="563" t="str">
        <f>D5</f>
        <v>Estimate for 2025</v>
      </c>
      <c r="E32" s="151" t="str">
        <f>E5</f>
        <v>Year for 2026</v>
      </c>
    </row>
    <row r="33" spans="2:5" x14ac:dyDescent="0.25">
      <c r="B33" s="21" t="s">
        <v>324</v>
      </c>
      <c r="C33" s="3">
        <v>66743</v>
      </c>
      <c r="D33" s="12">
        <f>C52</f>
        <v>64379</v>
      </c>
      <c r="E33" s="12">
        <f>D52</f>
        <v>62379</v>
      </c>
    </row>
    <row r="34" spans="2:5" x14ac:dyDescent="0.25">
      <c r="B34" s="24" t="s">
        <v>325</v>
      </c>
      <c r="C34" s="8"/>
      <c r="D34" s="8"/>
      <c r="E34" s="8"/>
    </row>
    <row r="35" spans="2:5" x14ac:dyDescent="0.25">
      <c r="B35" s="20" t="s">
        <v>862</v>
      </c>
      <c r="C35" s="3">
        <v>60062</v>
      </c>
      <c r="D35" s="3">
        <v>60000</v>
      </c>
      <c r="E35" s="3">
        <v>60000</v>
      </c>
    </row>
    <row r="36" spans="2:5" x14ac:dyDescent="0.25">
      <c r="B36" s="20"/>
      <c r="C36" s="3"/>
      <c r="D36" s="3"/>
      <c r="E36" s="3"/>
    </row>
    <row r="37" spans="2:5" x14ac:dyDescent="0.25">
      <c r="B37" s="20"/>
      <c r="C37" s="3"/>
      <c r="D37" s="3"/>
      <c r="E37" s="3"/>
    </row>
    <row r="38" spans="2:5" x14ac:dyDescent="0.25">
      <c r="B38" s="22" t="s">
        <v>336</v>
      </c>
      <c r="C38" s="3"/>
      <c r="D38" s="3"/>
      <c r="E38" s="3"/>
    </row>
    <row r="39" spans="2:5" x14ac:dyDescent="0.25">
      <c r="B39" s="27" t="s">
        <v>338</v>
      </c>
      <c r="C39" s="3"/>
      <c r="D39" s="23"/>
      <c r="E39" s="23"/>
    </row>
    <row r="40" spans="2:5" x14ac:dyDescent="0.25">
      <c r="B40" s="21" t="s">
        <v>339</v>
      </c>
      <c r="C40" s="308" t="str">
        <f>IF(C41*0.1&lt;C39,"Exceed 10% Rule","")</f>
        <v/>
      </c>
      <c r="D40" s="28" t="str">
        <f>IF(D41*0.1&lt;D39,"Exceed 10% Rule","")</f>
        <v/>
      </c>
      <c r="E40" s="28" t="str">
        <f>IF(E41*0.1&lt;E39,"Exceed 10% Rule","")</f>
        <v/>
      </c>
    </row>
    <row r="41" spans="2:5" x14ac:dyDescent="0.25">
      <c r="B41" s="17" t="s">
        <v>340</v>
      </c>
      <c r="C41" s="19">
        <f>SUM(C35:C39)</f>
        <v>60062</v>
      </c>
      <c r="D41" s="19">
        <f>SUM(D35:D39)</f>
        <v>60000</v>
      </c>
      <c r="E41" s="19">
        <f>SUM(E35:E39)</f>
        <v>60000</v>
      </c>
    </row>
    <row r="42" spans="2:5" x14ac:dyDescent="0.25">
      <c r="B42" s="17" t="s">
        <v>341</v>
      </c>
      <c r="C42" s="19">
        <f>C33+C41</f>
        <v>126805</v>
      </c>
      <c r="D42" s="19">
        <f>D33+D41</f>
        <v>124379</v>
      </c>
      <c r="E42" s="19">
        <f>E33+E41</f>
        <v>122379</v>
      </c>
    </row>
    <row r="43" spans="2:5" x14ac:dyDescent="0.25">
      <c r="B43" s="7" t="s">
        <v>343</v>
      </c>
      <c r="C43" s="12"/>
      <c r="D43" s="12"/>
      <c r="E43" s="12"/>
    </row>
    <row r="44" spans="2:5" x14ac:dyDescent="0.25">
      <c r="B44" s="20" t="s">
        <v>851</v>
      </c>
      <c r="C44" s="3">
        <v>62426</v>
      </c>
      <c r="D44" s="3">
        <v>62000</v>
      </c>
      <c r="E44" s="3">
        <v>62000</v>
      </c>
    </row>
    <row r="45" spans="2:5" x14ac:dyDescent="0.25">
      <c r="B45" s="20" t="s">
        <v>861</v>
      </c>
      <c r="C45" s="3">
        <v>0</v>
      </c>
      <c r="D45" s="3"/>
      <c r="E45" s="3">
        <v>60379</v>
      </c>
    </row>
    <row r="46" spans="2:5" x14ac:dyDescent="0.25">
      <c r="B46" s="20"/>
      <c r="C46" s="3"/>
      <c r="D46" s="3"/>
      <c r="E46" s="3"/>
    </row>
    <row r="47" spans="2:5" x14ac:dyDescent="0.25">
      <c r="B47" s="20"/>
      <c r="C47" s="3"/>
      <c r="D47" s="3"/>
      <c r="E47" s="3"/>
    </row>
    <row r="48" spans="2:5" x14ac:dyDescent="0.25">
      <c r="B48" s="25" t="str">
        <f>CONCATENATE("Cash Reserve (",E1," column)")</f>
        <v>Cash Reserve (2026 column)</v>
      </c>
      <c r="C48" s="3"/>
      <c r="D48" s="3"/>
      <c r="E48" s="3"/>
    </row>
    <row r="49" spans="2:5" x14ac:dyDescent="0.25">
      <c r="B49" s="25" t="s">
        <v>338</v>
      </c>
      <c r="C49" s="3"/>
      <c r="D49" s="23"/>
      <c r="E49" s="23"/>
    </row>
    <row r="50" spans="2:5" x14ac:dyDescent="0.25">
      <c r="B50" s="25" t="s">
        <v>349</v>
      </c>
      <c r="C50" s="308" t="str">
        <f>IF(C51*0.1&lt;C49,"Exceed 10% Rule","")</f>
        <v/>
      </c>
      <c r="D50" s="28" t="str">
        <f>IF(D51*0.1&lt;D49,"Exceed 10% Rule","")</f>
        <v/>
      </c>
      <c r="E50" s="28" t="str">
        <f>IF(E51*0.1&lt;E49,"Exceed 10% Rule","")</f>
        <v/>
      </c>
    </row>
    <row r="51" spans="2:5" x14ac:dyDescent="0.25">
      <c r="B51" s="17" t="s">
        <v>351</v>
      </c>
      <c r="C51" s="19">
        <f>SUM(C44:C49)</f>
        <v>62426</v>
      </c>
      <c r="D51" s="19">
        <f>SUM(D44:D49)</f>
        <v>62000</v>
      </c>
      <c r="E51" s="19">
        <f>SUM(E44:E49)</f>
        <v>122379</v>
      </c>
    </row>
    <row r="52" spans="2:5" x14ac:dyDescent="0.25">
      <c r="B52" s="7" t="s">
        <v>352</v>
      </c>
      <c r="C52" s="18">
        <f>C42-C51</f>
        <v>64379</v>
      </c>
      <c r="D52" s="18">
        <f>D42-D51</f>
        <v>62379</v>
      </c>
      <c r="E52" s="18">
        <f>E42-E51</f>
        <v>0</v>
      </c>
    </row>
    <row r="53" spans="2:5" x14ac:dyDescent="0.25">
      <c r="B53" s="426" t="str">
        <f>CONCATENATE("",E1-2,"/",E1-1,"/",E1," Budget Authority Amount:")</f>
        <v>2024/2025/2026 Budget Authority Amount:</v>
      </c>
      <c r="C53" s="425">
        <f>inputOth!B80</f>
        <v>128997</v>
      </c>
      <c r="D53" s="425">
        <f>inputPrYr!D37</f>
        <v>127743</v>
      </c>
      <c r="E53" s="427">
        <f>E51</f>
        <v>122379</v>
      </c>
    </row>
    <row r="54" spans="2:5" x14ac:dyDescent="0.25">
      <c r="B54" s="570"/>
      <c r="C54" s="169" t="str">
        <f>IF(C51&gt;C53,"See Tab A","")</f>
        <v/>
      </c>
      <c r="D54" s="169" t="str">
        <f>IF(D51&gt;D53,"See Tab C","")</f>
        <v/>
      </c>
      <c r="E54" s="428" t="str">
        <f>IF(E52&lt;0,"See Tab E","")</f>
        <v/>
      </c>
    </row>
    <row r="55" spans="2:5" x14ac:dyDescent="0.25">
      <c r="B55" s="496" t="s">
        <v>160</v>
      </c>
      <c r="C55" s="482"/>
      <c r="D55" s="482"/>
      <c r="E55" s="488"/>
    </row>
    <row r="56" spans="2:5" x14ac:dyDescent="0.25">
      <c r="B56" s="489"/>
      <c r="C56" s="169"/>
      <c r="D56" s="169"/>
      <c r="E56" s="490"/>
    </row>
    <row r="57" spans="2:5" x14ac:dyDescent="0.25">
      <c r="B57" s="491"/>
      <c r="C57" s="492" t="str">
        <f>IF(C52&lt;0,"See Tab B","")</f>
        <v/>
      </c>
      <c r="D57" s="492" t="str">
        <f>IF(D52&lt;0,"See Tab D","")</f>
        <v/>
      </c>
      <c r="E57" s="487"/>
    </row>
    <row r="58" spans="2:5" x14ac:dyDescent="0.25">
      <c r="B58" s="4"/>
      <c r="C58" s="4"/>
      <c r="D58" s="4"/>
      <c r="E58" s="4"/>
    </row>
    <row r="59" spans="2:5" x14ac:dyDescent="0.25">
      <c r="B59" s="5" t="s">
        <v>364</v>
      </c>
      <c r="C59" s="463">
        <v>11</v>
      </c>
      <c r="D59" s="4"/>
      <c r="E59" s="4"/>
    </row>
  </sheetData>
  <phoneticPr fontId="0" type="noConversion"/>
  <conditionalFormatting sqref="C11">
    <cfRule type="cellIs" dxfId="39" priority="3" stopIfTrue="1" operator="greaterThan">
      <formula>$C$13*0.1</formula>
    </cfRule>
  </conditionalFormatting>
  <conditionalFormatting sqref="C22">
    <cfRule type="cellIs" dxfId="38" priority="6" stopIfTrue="1" operator="greaterThan">
      <formula>$C$24*0.1</formula>
    </cfRule>
  </conditionalFormatting>
  <conditionalFormatting sqref="C24">
    <cfRule type="cellIs" dxfId="37" priority="19" stopIfTrue="1" operator="greaterThan">
      <formula>$C$26</formula>
    </cfRule>
  </conditionalFormatting>
  <conditionalFormatting sqref="C25 E25 C52 E52">
    <cfRule type="cellIs" dxfId="36" priority="17" stopIfTrue="1" operator="lessThan">
      <formula>0</formula>
    </cfRule>
  </conditionalFormatting>
  <conditionalFormatting sqref="C39">
    <cfRule type="cellIs" dxfId="35" priority="9" stopIfTrue="1" operator="greaterThan">
      <formula>$C$41*0.1</formula>
    </cfRule>
  </conditionalFormatting>
  <conditionalFormatting sqref="C49">
    <cfRule type="cellIs" dxfId="34" priority="12" stopIfTrue="1" operator="greaterThan">
      <formula>$C$51*0.1</formula>
    </cfRule>
  </conditionalFormatting>
  <conditionalFormatting sqref="C51">
    <cfRule type="cellIs" dxfId="33" priority="16" stopIfTrue="1" operator="greaterThan">
      <formula>$C$53</formula>
    </cfRule>
  </conditionalFormatting>
  <conditionalFormatting sqref="D11">
    <cfRule type="cellIs" dxfId="32" priority="4" stopIfTrue="1" operator="greaterThan">
      <formula>$D$13*0.1</formula>
    </cfRule>
  </conditionalFormatting>
  <conditionalFormatting sqref="D22">
    <cfRule type="cellIs" dxfId="31" priority="7" stopIfTrue="1" operator="greaterThan">
      <formula>$D$24*0.1</formula>
    </cfRule>
  </conditionalFormatting>
  <conditionalFormatting sqref="D24">
    <cfRule type="cellIs" dxfId="30" priority="18" stopIfTrue="1" operator="greaterThan">
      <formula>$D$26</formula>
    </cfRule>
  </conditionalFormatting>
  <conditionalFormatting sqref="D25">
    <cfRule type="cellIs" dxfId="29" priority="2" stopIfTrue="1" operator="lessThan">
      <formula>0</formula>
    </cfRule>
  </conditionalFormatting>
  <conditionalFormatting sqref="D39">
    <cfRule type="cellIs" dxfId="28" priority="10" stopIfTrue="1" operator="greaterThan">
      <formula>$D$41*0.1</formula>
    </cfRule>
  </conditionalFormatting>
  <conditionalFormatting sqref="D49">
    <cfRule type="cellIs" dxfId="27" priority="13" stopIfTrue="1" operator="greaterThan">
      <formula>$D$51*0.1</formula>
    </cfRule>
  </conditionalFormatting>
  <conditionalFormatting sqref="D51">
    <cfRule type="cellIs" dxfId="26" priority="15" stopIfTrue="1" operator="greaterThan">
      <formula>$D$53</formula>
    </cfRule>
  </conditionalFormatting>
  <conditionalFormatting sqref="D52">
    <cfRule type="cellIs" dxfId="25" priority="1" stopIfTrue="1" operator="lessThan">
      <formula>0</formula>
    </cfRule>
  </conditionalFormatting>
  <conditionalFormatting sqref="E11">
    <cfRule type="cellIs" dxfId="24" priority="5" stopIfTrue="1" operator="greaterThan">
      <formula>$E$13*0.1</formula>
    </cfRule>
  </conditionalFormatting>
  <conditionalFormatting sqref="E22">
    <cfRule type="cellIs" dxfId="23" priority="8" stopIfTrue="1" operator="greaterThan">
      <formula>$E$24*0.1</formula>
    </cfRule>
  </conditionalFormatting>
  <conditionalFormatting sqref="E39">
    <cfRule type="cellIs" dxfId="22" priority="11" stopIfTrue="1" operator="greaterThan">
      <formula>$E$41*0.1</formula>
    </cfRule>
  </conditionalFormatting>
  <conditionalFormatting sqref="E49">
    <cfRule type="cellIs" dxfId="21" priority="14" stopIfTrue="1" operator="greaterThan">
      <formula>$E$51*0.1</formula>
    </cfRule>
  </conditionalFormatting>
  <pageMargins left="0.5" right="0.5" top="1" bottom="0.5" header="0.5" footer="0.5"/>
  <pageSetup scale="80" orientation="portrait" blackAndWhite="1" horizontalDpi="120" verticalDpi="144" r:id="rId1"/>
  <headerFooter alignWithMargins="0">
    <oddHeader>&amp;RState of Kansas
City</oddHead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2">
    <tabColor rgb="FF00B0F0"/>
    <pageSetUpPr fitToPage="1"/>
  </sheetPr>
  <dimension ref="B1:E49"/>
  <sheetViews>
    <sheetView topLeftCell="A19" workbookViewId="0">
      <selection activeCell="O32" sqref="O32"/>
    </sheetView>
  </sheetViews>
  <sheetFormatPr defaultColWidth="8.88671875" defaultRowHeight="15" x14ac:dyDescent="0.2"/>
  <cols>
    <col min="1" max="1" width="2.44140625" style="29" customWidth="1"/>
    <col min="2" max="2" width="31.109375" style="29" customWidth="1"/>
    <col min="3" max="4" width="15.77734375" style="29" customWidth="1"/>
    <col min="5" max="5" width="16.33203125" style="29" customWidth="1"/>
    <col min="6" max="16384" width="8.88671875" style="29"/>
  </cols>
  <sheetData>
    <row r="1" spans="2:5" ht="15.75" x14ac:dyDescent="0.2">
      <c r="B1" s="51" t="str">
        <f>(inputPrYr!D3)</f>
        <v>City of Concordia</v>
      </c>
      <c r="C1" s="33"/>
      <c r="D1" s="33"/>
      <c r="E1" s="145">
        <f>inputPrYr!$C$6</f>
        <v>2026</v>
      </c>
    </row>
    <row r="2" spans="2:5" ht="15.75" x14ac:dyDescent="0.2">
      <c r="B2" s="33"/>
      <c r="C2" s="33"/>
      <c r="D2" s="33"/>
      <c r="E2" s="62"/>
    </row>
    <row r="3" spans="2:5" ht="15.75" x14ac:dyDescent="0.2">
      <c r="B3" s="146" t="s">
        <v>372</v>
      </c>
      <c r="C3" s="147"/>
      <c r="D3" s="147"/>
      <c r="E3" s="148"/>
    </row>
    <row r="4" spans="2:5" ht="15.75" x14ac:dyDescent="0.2">
      <c r="B4" s="557" t="s">
        <v>320</v>
      </c>
      <c r="C4" s="149" t="s">
        <v>321</v>
      </c>
      <c r="D4" s="150" t="s">
        <v>268</v>
      </c>
      <c r="E4" s="43" t="s">
        <v>323</v>
      </c>
    </row>
    <row r="5" spans="2:5" ht="15.75" x14ac:dyDescent="0.2">
      <c r="B5" s="270" t="str">
        <f>(inputPrYr!B47)</f>
        <v>Water &amp; Sewer Utility</v>
      </c>
      <c r="C5" s="563" t="str">
        <f>CONCATENATE("Actual for ",E1-2,"")</f>
        <v>Actual for 2024</v>
      </c>
      <c r="D5" s="563" t="str">
        <f>CONCATENATE("Estimate for ",E1-1,"")</f>
        <v>Estimate for 2025</v>
      </c>
      <c r="E5" s="151" t="str">
        <f>CONCATENATE("Year for ",E1,"")</f>
        <v>Year for 2026</v>
      </c>
    </row>
    <row r="6" spans="2:5" ht="15.75" x14ac:dyDescent="0.2">
      <c r="B6" s="560" t="s">
        <v>324</v>
      </c>
      <c r="C6" s="152">
        <v>997655</v>
      </c>
      <c r="D6" s="153">
        <f>C42</f>
        <v>863661</v>
      </c>
      <c r="E6" s="154">
        <f>D42</f>
        <v>926337</v>
      </c>
    </row>
    <row r="7" spans="2:5" ht="15.75" x14ac:dyDescent="0.2">
      <c r="B7" s="155" t="s">
        <v>325</v>
      </c>
      <c r="C7" s="117"/>
      <c r="D7" s="117"/>
      <c r="E7" s="47"/>
    </row>
    <row r="8" spans="2:5" ht="15.75" x14ac:dyDescent="0.2">
      <c r="B8" s="156" t="s">
        <v>863</v>
      </c>
      <c r="C8" s="152">
        <v>1033039</v>
      </c>
      <c r="D8" s="152">
        <v>1163000</v>
      </c>
      <c r="E8" s="157">
        <v>1248000</v>
      </c>
    </row>
    <row r="9" spans="2:5" ht="15.75" x14ac:dyDescent="0.2">
      <c r="B9" s="156" t="s">
        <v>864</v>
      </c>
      <c r="C9" s="152">
        <v>489636</v>
      </c>
      <c r="D9" s="152">
        <v>600000</v>
      </c>
      <c r="E9" s="157">
        <v>657000</v>
      </c>
    </row>
    <row r="10" spans="2:5" ht="15.75" x14ac:dyDescent="0.2">
      <c r="B10" s="156" t="s">
        <v>862</v>
      </c>
      <c r="C10" s="152">
        <v>13550</v>
      </c>
      <c r="D10" s="152">
        <v>14000</v>
      </c>
      <c r="E10" s="157">
        <v>14000</v>
      </c>
    </row>
    <row r="11" spans="2:5" ht="15.75" x14ac:dyDescent="0.2">
      <c r="B11" s="156" t="s">
        <v>812</v>
      </c>
      <c r="C11" s="152">
        <v>3000</v>
      </c>
      <c r="D11" s="152">
        <v>9000</v>
      </c>
      <c r="E11" s="157">
        <v>9000</v>
      </c>
    </row>
    <row r="12" spans="2:5" ht="15.75" x14ac:dyDescent="0.2">
      <c r="B12" s="156" t="s">
        <v>815</v>
      </c>
      <c r="C12" s="152">
        <v>523</v>
      </c>
      <c r="D12" s="152">
        <v>0</v>
      </c>
      <c r="E12" s="157">
        <v>0</v>
      </c>
    </row>
    <row r="13" spans="2:5" ht="15.75" x14ac:dyDescent="0.2">
      <c r="B13" s="158" t="s">
        <v>865</v>
      </c>
      <c r="C13" s="152">
        <v>13539</v>
      </c>
      <c r="D13" s="152">
        <v>15000</v>
      </c>
      <c r="E13" s="96">
        <v>15000</v>
      </c>
    </row>
    <row r="14" spans="2:5" ht="15.75" x14ac:dyDescent="0.2">
      <c r="B14" s="156" t="s">
        <v>813</v>
      </c>
      <c r="C14" s="152">
        <v>0</v>
      </c>
      <c r="D14" s="152">
        <v>0</v>
      </c>
      <c r="E14" s="157">
        <v>0</v>
      </c>
    </row>
    <row r="15" spans="2:5" ht="15.75" x14ac:dyDescent="0.2">
      <c r="B15" s="159" t="s">
        <v>336</v>
      </c>
      <c r="C15" s="152">
        <v>31022</v>
      </c>
      <c r="D15" s="152">
        <v>10000</v>
      </c>
      <c r="E15" s="157">
        <v>10000</v>
      </c>
    </row>
    <row r="16" spans="2:5" ht="15.75" x14ac:dyDescent="0.2">
      <c r="B16" s="117" t="s">
        <v>338</v>
      </c>
      <c r="C16" s="152">
        <v>67</v>
      </c>
      <c r="D16" s="152">
        <v>0</v>
      </c>
      <c r="E16" s="157">
        <v>0</v>
      </c>
    </row>
    <row r="17" spans="2:5" ht="15.75" x14ac:dyDescent="0.2">
      <c r="B17" s="571" t="s">
        <v>339</v>
      </c>
      <c r="C17" s="160" t="str">
        <f>IF(C18*0.1&lt;C16,"Exceed 10% Rule","")</f>
        <v/>
      </c>
      <c r="D17" s="160" t="str">
        <f>IF(D18*0.1&lt;D16,"Exceed 10% Rule","")</f>
        <v/>
      </c>
      <c r="E17" s="167" t="str">
        <f>IF(E18*0.1&lt;E16,"Exceed 10% Rule","")</f>
        <v/>
      </c>
    </row>
    <row r="18" spans="2:5" ht="15.75" x14ac:dyDescent="0.2">
      <c r="B18" s="162" t="s">
        <v>340</v>
      </c>
      <c r="C18" s="164">
        <f>SUM(C8:C16)</f>
        <v>1584376</v>
      </c>
      <c r="D18" s="164">
        <f>SUM(D8:D16)</f>
        <v>1811000</v>
      </c>
      <c r="E18" s="165">
        <f>SUM(E8:E16)</f>
        <v>1953000</v>
      </c>
    </row>
    <row r="19" spans="2:5" ht="15.75" x14ac:dyDescent="0.2">
      <c r="B19" s="162" t="s">
        <v>341</v>
      </c>
      <c r="C19" s="164">
        <f>C6+C18</f>
        <v>2582031</v>
      </c>
      <c r="D19" s="164">
        <f>D6+D18</f>
        <v>2674661</v>
      </c>
      <c r="E19" s="165">
        <f>E6+E18</f>
        <v>2879337</v>
      </c>
    </row>
    <row r="20" spans="2:5" ht="15.75" x14ac:dyDescent="0.2">
      <c r="B20" s="560" t="s">
        <v>343</v>
      </c>
      <c r="C20" s="117"/>
      <c r="D20" s="117"/>
      <c r="E20" s="47"/>
    </row>
    <row r="21" spans="2:5" ht="15.75" x14ac:dyDescent="0.2">
      <c r="B21" s="156" t="s">
        <v>854</v>
      </c>
      <c r="C21" s="152">
        <v>800432</v>
      </c>
      <c r="D21" s="152">
        <v>879243</v>
      </c>
      <c r="E21" s="157">
        <v>932234</v>
      </c>
    </row>
    <row r="22" spans="2:5" ht="15.75" x14ac:dyDescent="0.2">
      <c r="B22" s="156" t="s">
        <v>851</v>
      </c>
      <c r="C22" s="152">
        <v>349368</v>
      </c>
      <c r="D22" s="152">
        <v>357601</v>
      </c>
      <c r="E22" s="157">
        <v>408485</v>
      </c>
    </row>
    <row r="23" spans="2:5" ht="15.75" x14ac:dyDescent="0.2">
      <c r="B23" s="156" t="s">
        <v>855</v>
      </c>
      <c r="C23" s="152">
        <v>290162</v>
      </c>
      <c r="D23" s="152">
        <v>295430</v>
      </c>
      <c r="E23" s="96">
        <v>320700</v>
      </c>
    </row>
    <row r="24" spans="2:5" ht="15.75" x14ac:dyDescent="0.2">
      <c r="B24" s="156" t="s">
        <v>861</v>
      </c>
      <c r="C24" s="152">
        <v>125425</v>
      </c>
      <c r="D24" s="152">
        <v>63420</v>
      </c>
      <c r="E24" s="96">
        <v>103500</v>
      </c>
    </row>
    <row r="25" spans="2:5" ht="15.75" x14ac:dyDescent="0.2">
      <c r="B25" s="156"/>
      <c r="C25" s="152"/>
      <c r="D25" s="152"/>
      <c r="E25" s="96"/>
    </row>
    <row r="26" spans="2:5" ht="15.75" x14ac:dyDescent="0.2">
      <c r="B26" s="156" t="s">
        <v>866</v>
      </c>
      <c r="C26" s="152">
        <v>75745</v>
      </c>
      <c r="D26" s="152">
        <v>76580</v>
      </c>
      <c r="E26" s="96">
        <v>77093</v>
      </c>
    </row>
    <row r="27" spans="2:5" ht="15.75" x14ac:dyDescent="0.2">
      <c r="B27" s="156" t="s">
        <v>867</v>
      </c>
      <c r="C27" s="152">
        <v>2000</v>
      </c>
      <c r="D27" s="152">
        <v>2000</v>
      </c>
      <c r="E27" s="96">
        <v>2000</v>
      </c>
    </row>
    <row r="28" spans="2:5" ht="15.75" x14ac:dyDescent="0.2">
      <c r="B28" s="156" t="s">
        <v>868</v>
      </c>
      <c r="C28" s="152">
        <v>5000</v>
      </c>
      <c r="D28" s="152">
        <v>5000</v>
      </c>
      <c r="E28" s="96">
        <v>5000</v>
      </c>
    </row>
    <row r="29" spans="2:5" ht="15.75" x14ac:dyDescent="0.2">
      <c r="B29" s="156" t="s">
        <v>869</v>
      </c>
      <c r="C29" s="152">
        <v>10000</v>
      </c>
      <c r="D29" s="152">
        <v>10000</v>
      </c>
      <c r="E29" s="96">
        <v>10000</v>
      </c>
    </row>
    <row r="30" spans="2:5" ht="15.75" x14ac:dyDescent="0.2">
      <c r="B30" s="156" t="s">
        <v>870</v>
      </c>
      <c r="C30" s="152">
        <v>60238</v>
      </c>
      <c r="D30" s="152">
        <v>59050</v>
      </c>
      <c r="E30" s="96">
        <v>57550</v>
      </c>
    </row>
    <row r="31" spans="2:5" ht="15.75" x14ac:dyDescent="0.2">
      <c r="B31" s="156"/>
      <c r="C31" s="152"/>
      <c r="D31" s="152"/>
      <c r="E31" s="96"/>
    </row>
    <row r="32" spans="2:5" ht="15.75" x14ac:dyDescent="0.2">
      <c r="B32" s="156"/>
      <c r="C32" s="152"/>
      <c r="D32" s="152"/>
      <c r="E32" s="96"/>
    </row>
    <row r="33" spans="2:5" ht="15.75" x14ac:dyDescent="0.2">
      <c r="B33" s="156" t="s">
        <v>902</v>
      </c>
      <c r="C33" s="152"/>
      <c r="D33" s="152"/>
      <c r="E33" s="157">
        <v>179000</v>
      </c>
    </row>
    <row r="34" spans="2:5" ht="15.75" x14ac:dyDescent="0.2">
      <c r="B34" s="156"/>
      <c r="C34" s="152"/>
      <c r="D34" s="152"/>
      <c r="E34" s="157"/>
    </row>
    <row r="35" spans="2:5" ht="15.75" x14ac:dyDescent="0.2">
      <c r="B35" s="156" t="s">
        <v>871</v>
      </c>
      <c r="C35" s="152"/>
      <c r="D35" s="152"/>
      <c r="E35" s="157">
        <v>783775</v>
      </c>
    </row>
    <row r="36" spans="2:5" ht="15.75" x14ac:dyDescent="0.2">
      <c r="B36" s="156"/>
      <c r="C36" s="152"/>
      <c r="D36" s="152"/>
      <c r="E36" s="157"/>
    </row>
    <row r="37" spans="2:5" ht="15.75" x14ac:dyDescent="0.2">
      <c r="B37" s="156"/>
      <c r="C37" s="152"/>
      <c r="D37" s="152"/>
      <c r="E37" s="157"/>
    </row>
    <row r="38" spans="2:5" ht="15.75" x14ac:dyDescent="0.2">
      <c r="B38" s="166" t="str">
        <f>CONCATENATE("Cash Reserve (",E1," column)")</f>
        <v>Cash Reserve (2026 column)</v>
      </c>
      <c r="C38" s="152"/>
      <c r="D38" s="152"/>
      <c r="E38" s="157"/>
    </row>
    <row r="39" spans="2:5" ht="15.75" x14ac:dyDescent="0.2">
      <c r="B39" s="166" t="s">
        <v>338</v>
      </c>
      <c r="C39" s="152"/>
      <c r="D39" s="152"/>
      <c r="E39" s="157"/>
    </row>
    <row r="40" spans="2:5" ht="15.75" x14ac:dyDescent="0.2">
      <c r="B40" s="166" t="s">
        <v>349</v>
      </c>
      <c r="C40" s="160" t="str">
        <f>IF(C41*0.1&lt;C39,"Exceed 10% Rule","")</f>
        <v/>
      </c>
      <c r="D40" s="160" t="str">
        <f>IF(D41*0.1&lt;D39,"Exceed 10% Rule","")</f>
        <v/>
      </c>
      <c r="E40" s="167" t="str">
        <f>IF(E41*0.1&lt;E39,"Exceed 10% Rule","")</f>
        <v/>
      </c>
    </row>
    <row r="41" spans="2:5" ht="15.75" x14ac:dyDescent="0.2">
      <c r="B41" s="162" t="s">
        <v>351</v>
      </c>
      <c r="C41" s="164">
        <f>SUM(C21:C39)</f>
        <v>1718370</v>
      </c>
      <c r="D41" s="164">
        <f>SUM(D21:D39)</f>
        <v>1748324</v>
      </c>
      <c r="E41" s="165">
        <f>SUM(E21:E39)</f>
        <v>2879337</v>
      </c>
    </row>
    <row r="42" spans="2:5" ht="15.75" x14ac:dyDescent="0.2">
      <c r="B42" s="560" t="s">
        <v>352</v>
      </c>
      <c r="C42" s="168">
        <f>C19-C41</f>
        <v>863661</v>
      </c>
      <c r="D42" s="168">
        <f>D19-D41</f>
        <v>926337</v>
      </c>
      <c r="E42" s="82">
        <f>E19-E41</f>
        <v>0</v>
      </c>
    </row>
    <row r="43" spans="2:5" ht="15.75" x14ac:dyDescent="0.2">
      <c r="B43" s="121" t="str">
        <f>CONCATENATE("",E1-2,"/",E1-1,"/",E1," Budget Authority Amount:")</f>
        <v>2024/2025/2026 Budget Authority Amount:</v>
      </c>
      <c r="C43" s="180">
        <f>inputOth!B89</f>
        <v>2490623</v>
      </c>
      <c r="D43" s="180">
        <f>inputPrYr!D47</f>
        <v>2414462</v>
      </c>
      <c r="E43" s="429">
        <f>E41</f>
        <v>2879337</v>
      </c>
    </row>
    <row r="44" spans="2:5" ht="15.75" x14ac:dyDescent="0.2">
      <c r="B44" s="564"/>
      <c r="C44" s="169" t="str">
        <f>IF(C41&gt;C43,"See Tab A","")</f>
        <v/>
      </c>
      <c r="D44" s="169" t="str">
        <f>IF(D41&gt;D43,"See Tab C","")</f>
        <v/>
      </c>
      <c r="E44" s="428" t="str">
        <f>IF(E42&lt;0,"See Tab E","")</f>
        <v/>
      </c>
    </row>
    <row r="45" spans="2:5" ht="15.75" x14ac:dyDescent="0.2">
      <c r="B45" s="497" t="s">
        <v>160</v>
      </c>
      <c r="C45" s="482"/>
      <c r="D45" s="482"/>
      <c r="E45" s="488"/>
    </row>
    <row r="46" spans="2:5" ht="15.75" x14ac:dyDescent="0.2">
      <c r="B46" s="493"/>
      <c r="C46" s="169"/>
      <c r="D46" s="169"/>
      <c r="E46" s="490"/>
    </row>
    <row r="47" spans="2:5" ht="15.75" x14ac:dyDescent="0.2">
      <c r="B47" s="494"/>
      <c r="C47" s="492" t="str">
        <f>IF(C42&lt;0,"See Tab B","")</f>
        <v/>
      </c>
      <c r="D47" s="492" t="str">
        <f>IF(D42&lt;0,"See Tab D","")</f>
        <v/>
      </c>
      <c r="E47" s="102"/>
    </row>
    <row r="48" spans="2:5" x14ac:dyDescent="0.2">
      <c r="B48" s="73"/>
      <c r="C48" s="73"/>
      <c r="D48" s="73"/>
      <c r="E48" s="73"/>
    </row>
    <row r="49" spans="2:5" ht="15.75" x14ac:dyDescent="0.2">
      <c r="B49" s="62" t="s">
        <v>364</v>
      </c>
      <c r="C49" s="462">
        <v>12</v>
      </c>
      <c r="D49" s="73"/>
      <c r="E49" s="73"/>
    </row>
  </sheetData>
  <phoneticPr fontId="9" type="noConversion"/>
  <conditionalFormatting sqref="C16">
    <cfRule type="cellIs" dxfId="20" priority="1" stopIfTrue="1" operator="greaterThan">
      <formula>$C$18*0.1</formula>
    </cfRule>
  </conditionalFormatting>
  <conditionalFormatting sqref="C39">
    <cfRule type="cellIs" dxfId="19" priority="6" stopIfTrue="1" operator="greaterThan">
      <formula>$C$41*0.1</formula>
    </cfRule>
  </conditionalFormatting>
  <conditionalFormatting sqref="C41">
    <cfRule type="cellIs" dxfId="18" priority="9" stopIfTrue="1" operator="greaterThan">
      <formula>$C$43</formula>
    </cfRule>
  </conditionalFormatting>
  <conditionalFormatting sqref="C42 E42">
    <cfRule type="cellIs" dxfId="17" priority="10" stopIfTrue="1" operator="lessThan">
      <formula>0</formula>
    </cfRule>
  </conditionalFormatting>
  <conditionalFormatting sqref="D16">
    <cfRule type="cellIs" dxfId="16" priority="2" stopIfTrue="1" operator="greaterThan">
      <formula>$D$18*0.1</formula>
    </cfRule>
  </conditionalFormatting>
  <conditionalFormatting sqref="D39">
    <cfRule type="cellIs" dxfId="15" priority="7" stopIfTrue="1" operator="greaterThan">
      <formula>$D$41*0.1</formula>
    </cfRule>
  </conditionalFormatting>
  <conditionalFormatting sqref="D41">
    <cfRule type="cellIs" dxfId="14" priority="8" stopIfTrue="1" operator="greaterThan">
      <formula>$D$43</formula>
    </cfRule>
  </conditionalFormatting>
  <conditionalFormatting sqref="D42">
    <cfRule type="cellIs" dxfId="13" priority="3" stopIfTrue="1" operator="lessThan">
      <formula>0</formula>
    </cfRule>
  </conditionalFormatting>
  <conditionalFormatting sqref="E16">
    <cfRule type="cellIs" dxfId="12" priority="4" stopIfTrue="1" operator="greaterThan">
      <formula>$E$18*0.1</formula>
    </cfRule>
  </conditionalFormatting>
  <conditionalFormatting sqref="E39">
    <cfRule type="cellIs" dxfId="11" priority="5" stopIfTrue="1" operator="greaterThan">
      <formula>$E$41*0.1</formula>
    </cfRule>
  </conditionalFormatting>
  <pageMargins left="0.75" right="0.75" top="1" bottom="1" header="0.5" footer="0.5"/>
  <pageSetup scale="85" orientation="portrait" blackAndWhite="1" r:id="rId1"/>
  <headerFooter alignWithMargins="0">
    <oddHeader>&amp;RState of Kansas
City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121"/>
  <sheetViews>
    <sheetView topLeftCell="A73" workbookViewId="0">
      <selection activeCell="B35" sqref="B35"/>
    </sheetView>
  </sheetViews>
  <sheetFormatPr defaultColWidth="8.88671875" defaultRowHeight="15.75" x14ac:dyDescent="0.2"/>
  <cols>
    <col min="1" max="1" width="15.77734375" style="64" customWidth="1"/>
    <col min="2" max="2" width="20.77734375" style="64" customWidth="1"/>
    <col min="3" max="3" width="9.77734375" style="64" customWidth="1"/>
    <col min="4" max="4" width="15.109375" style="64" customWidth="1"/>
    <col min="5" max="5" width="15.77734375" style="64" customWidth="1"/>
    <col min="6" max="6" width="1.88671875" style="64" customWidth="1"/>
    <col min="7" max="7" width="18.6640625" style="64" customWidth="1"/>
    <col min="8" max="16384" width="8.88671875" style="64"/>
  </cols>
  <sheetData>
    <row r="1" spans="1:8" x14ac:dyDescent="0.2">
      <c r="A1" s="595" t="s">
        <v>78</v>
      </c>
      <c r="B1" s="596"/>
      <c r="C1" s="596"/>
      <c r="D1" s="596"/>
      <c r="E1" s="596"/>
    </row>
    <row r="2" spans="1:8" x14ac:dyDescent="0.2">
      <c r="A2" s="557"/>
      <c r="B2" s="33"/>
      <c r="C2" s="33"/>
      <c r="D2" s="66"/>
      <c r="E2" s="33"/>
    </row>
    <row r="3" spans="1:8" x14ac:dyDescent="0.2">
      <c r="A3" s="464" t="s">
        <v>79</v>
      </c>
      <c r="B3" s="33"/>
      <c r="C3" s="33"/>
      <c r="D3" s="604" t="s">
        <v>747</v>
      </c>
      <c r="E3" s="605"/>
    </row>
    <row r="4" spans="1:8" x14ac:dyDescent="0.2">
      <c r="A4" s="464" t="s">
        <v>80</v>
      </c>
      <c r="B4" s="33"/>
      <c r="C4" s="33"/>
      <c r="D4" s="604" t="s">
        <v>748</v>
      </c>
      <c r="E4" s="605"/>
    </row>
    <row r="5" spans="1:8" x14ac:dyDescent="0.2">
      <c r="A5" s="557"/>
      <c r="B5" s="33"/>
      <c r="C5" s="33"/>
      <c r="D5" s="66"/>
      <c r="E5" s="33"/>
    </row>
    <row r="6" spans="1:8" x14ac:dyDescent="0.2">
      <c r="A6" s="464" t="s">
        <v>81</v>
      </c>
      <c r="B6" s="33"/>
      <c r="C6" s="67">
        <v>2026</v>
      </c>
      <c r="D6" s="66"/>
      <c r="E6" s="33"/>
    </row>
    <row r="7" spans="1:8" x14ac:dyDescent="0.2">
      <c r="A7" s="597" t="s">
        <v>82</v>
      </c>
      <c r="B7" s="597"/>
      <c r="C7" s="597"/>
      <c r="D7" s="597"/>
      <c r="E7" s="597"/>
    </row>
    <row r="8" spans="1:8" ht="15.75" customHeight="1" x14ac:dyDescent="0.2">
      <c r="A8" s="597"/>
      <c r="B8" s="597"/>
      <c r="C8" s="597"/>
      <c r="D8" s="597"/>
      <c r="E8" s="597"/>
      <c r="F8" s="33"/>
      <c r="G8" s="598" t="s">
        <v>83</v>
      </c>
      <c r="H8" s="599"/>
    </row>
    <row r="9" spans="1:8" x14ac:dyDescent="0.2">
      <c r="A9" s="597"/>
      <c r="B9" s="597"/>
      <c r="C9" s="597"/>
      <c r="D9" s="597"/>
      <c r="E9" s="597"/>
      <c r="F9" s="33"/>
      <c r="G9" s="600"/>
      <c r="H9" s="601"/>
    </row>
    <row r="10" spans="1:8" x14ac:dyDescent="0.2">
      <c r="A10" s="593" t="s">
        <v>84</v>
      </c>
      <c r="B10" s="594"/>
      <c r="C10" s="594"/>
      <c r="D10" s="594"/>
      <c r="E10" s="594"/>
      <c r="F10" s="33"/>
      <c r="G10" s="600"/>
      <c r="H10" s="601"/>
    </row>
    <row r="11" spans="1:8" x14ac:dyDescent="0.2">
      <c r="A11" s="33"/>
      <c r="B11" s="33"/>
      <c r="C11" s="33"/>
      <c r="D11" s="33"/>
      <c r="E11" s="33"/>
      <c r="F11" s="33"/>
      <c r="G11" s="600"/>
      <c r="H11" s="601"/>
    </row>
    <row r="12" spans="1:8" x14ac:dyDescent="0.2">
      <c r="A12" s="446" t="s">
        <v>85</v>
      </c>
      <c r="B12" s="447"/>
      <c r="C12" s="33"/>
      <c r="D12" s="33"/>
      <c r="E12" s="33"/>
      <c r="F12" s="33"/>
      <c r="G12" s="600"/>
      <c r="H12" s="601"/>
    </row>
    <row r="13" spans="1:8" x14ac:dyDescent="0.2">
      <c r="A13" s="448" t="str">
        <f>CONCATENATE("the ",C6-1," Budget, Certificate Page:")</f>
        <v>the 2025 Budget, Certificate Page:</v>
      </c>
      <c r="B13" s="449"/>
      <c r="C13" s="33"/>
      <c r="D13" s="33"/>
      <c r="E13" s="33"/>
      <c r="F13" s="33"/>
      <c r="G13" s="600"/>
      <c r="H13" s="601"/>
    </row>
    <row r="14" spans="1:8" x14ac:dyDescent="0.2">
      <c r="A14" s="450" t="s">
        <v>86</v>
      </c>
      <c r="B14" s="451"/>
      <c r="C14" s="33"/>
      <c r="D14" s="33"/>
      <c r="E14" s="33"/>
      <c r="F14" s="33"/>
      <c r="G14" s="602"/>
      <c r="H14" s="603"/>
    </row>
    <row r="15" spans="1:8" x14ac:dyDescent="0.2">
      <c r="A15" s="33"/>
      <c r="B15" s="33"/>
      <c r="C15" s="33"/>
      <c r="D15" s="68">
        <f>C6-1</f>
        <v>2025</v>
      </c>
      <c r="E15" s="68">
        <f>C6-2</f>
        <v>2024</v>
      </c>
      <c r="F15" s="465"/>
      <c r="G15" s="194" t="s">
        <v>87</v>
      </c>
      <c r="H15" s="568" t="s">
        <v>88</v>
      </c>
    </row>
    <row r="16" spans="1:8" x14ac:dyDescent="0.2">
      <c r="A16" s="557" t="s">
        <v>89</v>
      </c>
      <c r="B16" s="33"/>
      <c r="C16" s="69" t="s">
        <v>90</v>
      </c>
      <c r="D16" s="70" t="s">
        <v>91</v>
      </c>
      <c r="E16" s="70" t="s">
        <v>92</v>
      </c>
      <c r="F16" s="465"/>
      <c r="G16" s="46" t="str">
        <f>CONCATENATE("",E15," Ad Valorem Tax")</f>
        <v>2024 Ad Valorem Tax</v>
      </c>
      <c r="H16" s="396">
        <v>0</v>
      </c>
    </row>
    <row r="17" spans="1:7" x14ac:dyDescent="0.2">
      <c r="A17" s="33"/>
      <c r="B17" s="44" t="s">
        <v>93</v>
      </c>
      <c r="C17" s="568" t="s">
        <v>94</v>
      </c>
      <c r="D17" s="71">
        <v>6296663</v>
      </c>
      <c r="E17" s="72">
        <v>1298664</v>
      </c>
      <c r="F17" s="465"/>
      <c r="G17" s="154">
        <f>IF(H16&gt;0,ROUND(E17-(E17*H16),0),0)</f>
        <v>0</v>
      </c>
    </row>
    <row r="18" spans="1:7" x14ac:dyDescent="0.2">
      <c r="A18" s="33"/>
      <c r="B18" s="44" t="s">
        <v>95</v>
      </c>
      <c r="C18" s="568" t="s">
        <v>96</v>
      </c>
      <c r="D18" s="72">
        <v>822735</v>
      </c>
      <c r="E18" s="72">
        <v>159822</v>
      </c>
      <c r="F18" s="465"/>
      <c r="G18" s="154">
        <f>IF(H16&gt;0,ROUND(E18-(E18*H16),0),0)</f>
        <v>0</v>
      </c>
    </row>
    <row r="19" spans="1:7" x14ac:dyDescent="0.2">
      <c r="A19" s="33"/>
      <c r="B19" s="44" t="s">
        <v>97</v>
      </c>
      <c r="C19" s="568" t="s">
        <v>98</v>
      </c>
      <c r="D19" s="72">
        <v>194210</v>
      </c>
      <c r="E19" s="72">
        <v>174951</v>
      </c>
      <c r="F19" s="465"/>
      <c r="G19" s="154">
        <f>IF(H16&gt;0,ROUND(E19-(E19*H16),0),0)</f>
        <v>0</v>
      </c>
    </row>
    <row r="20" spans="1:7" x14ac:dyDescent="0.2">
      <c r="A20" s="557" t="s">
        <v>99</v>
      </c>
      <c r="B20" s="33"/>
      <c r="C20" s="33"/>
      <c r="D20" s="33"/>
      <c r="E20" s="124"/>
      <c r="F20" s="465"/>
      <c r="G20" s="73"/>
    </row>
    <row r="21" spans="1:7" x14ac:dyDescent="0.2">
      <c r="A21" s="33"/>
      <c r="B21" s="74" t="s">
        <v>749</v>
      </c>
      <c r="C21" s="395" t="s">
        <v>750</v>
      </c>
      <c r="D21" s="72">
        <v>71894</v>
      </c>
      <c r="E21" s="72">
        <v>64689</v>
      </c>
      <c r="F21" s="465"/>
      <c r="G21" s="154">
        <f>IF(H16&gt;0,ROUND(E21-(E21*H16),0),0)</f>
        <v>0</v>
      </c>
    </row>
    <row r="22" spans="1:7" x14ac:dyDescent="0.2">
      <c r="A22" s="33"/>
      <c r="B22" s="74" t="s">
        <v>751</v>
      </c>
      <c r="C22" s="395" t="s">
        <v>752</v>
      </c>
      <c r="D22" s="72">
        <v>60000</v>
      </c>
      <c r="E22" s="72">
        <v>43574</v>
      </c>
      <c r="F22" s="465"/>
      <c r="G22" s="154">
        <f>IF(H16&gt;0,ROUND(E22-(E22*H16),0),0)</f>
        <v>0</v>
      </c>
    </row>
    <row r="23" spans="1:7" x14ac:dyDescent="0.2">
      <c r="A23" s="33"/>
      <c r="B23" s="74"/>
      <c r="C23" s="395"/>
      <c r="D23" s="72"/>
      <c r="E23" s="72"/>
      <c r="F23" s="465"/>
      <c r="G23" s="154">
        <f>IF(H16&gt;0,ROUND(E23-(E23*H16),0),0)</f>
        <v>0</v>
      </c>
    </row>
    <row r="24" spans="1:7" x14ac:dyDescent="0.2">
      <c r="A24" s="33"/>
      <c r="B24" s="74"/>
      <c r="C24" s="395"/>
      <c r="D24" s="72"/>
      <c r="E24" s="72"/>
      <c r="F24" s="465"/>
      <c r="G24" s="154">
        <f>IF(H16&gt;0,ROUND(E24-(E24*H16),0),0)</f>
        <v>0</v>
      </c>
    </row>
    <row r="25" spans="1:7" x14ac:dyDescent="0.2">
      <c r="A25" s="33"/>
      <c r="B25" s="74"/>
      <c r="C25" s="395"/>
      <c r="D25" s="72"/>
      <c r="E25" s="72"/>
      <c r="F25" s="465"/>
      <c r="G25" s="154">
        <f>IF(H16&gt;0,ROUND(E25-(E25*H16),0),0)</f>
        <v>0</v>
      </c>
    </row>
    <row r="26" spans="1:7" x14ac:dyDescent="0.2">
      <c r="A26" s="33"/>
      <c r="B26" s="74"/>
      <c r="C26" s="395"/>
      <c r="D26" s="72"/>
      <c r="E26" s="72"/>
      <c r="F26" s="465"/>
      <c r="G26" s="154">
        <f>IF(H16&gt;0,ROUND(E26-(E26*H16),0),0)</f>
        <v>0</v>
      </c>
    </row>
    <row r="27" spans="1:7" x14ac:dyDescent="0.2">
      <c r="A27" s="33"/>
      <c r="B27" s="74"/>
      <c r="C27" s="395"/>
      <c r="D27" s="72"/>
      <c r="E27" s="72"/>
      <c r="F27" s="465"/>
      <c r="G27" s="154">
        <f>IF(H16&gt;0,ROUND(E27-(E27*H16),0),0)</f>
        <v>0</v>
      </c>
    </row>
    <row r="28" spans="1:7" x14ac:dyDescent="0.2">
      <c r="A28" s="33"/>
      <c r="B28" s="74"/>
      <c r="C28" s="395"/>
      <c r="D28" s="72"/>
      <c r="E28" s="72"/>
      <c r="F28" s="465"/>
      <c r="G28" s="154">
        <f>IF(H16&gt;0,ROUND(E28-(E28*H16),0),0)</f>
        <v>0</v>
      </c>
    </row>
    <row r="29" spans="1:7" x14ac:dyDescent="0.2">
      <c r="A29" s="33"/>
      <c r="B29" s="74"/>
      <c r="C29" s="395"/>
      <c r="D29" s="72"/>
      <c r="E29" s="72"/>
      <c r="F29" s="465"/>
      <c r="G29" s="154">
        <f>IF(H16&gt;0,ROUND(E29-(E29*H16),0),0)</f>
        <v>0</v>
      </c>
    </row>
    <row r="30" spans="1:7" x14ac:dyDescent="0.2">
      <c r="A30" s="33"/>
      <c r="B30" s="74"/>
      <c r="C30" s="395"/>
      <c r="D30" s="72"/>
      <c r="E30" s="72"/>
      <c r="F30" s="465"/>
      <c r="G30" s="154">
        <f>IF(H16&gt;0,ROUND(E30-(E30*H16),0),0)</f>
        <v>0</v>
      </c>
    </row>
    <row r="31" spans="1:7" x14ac:dyDescent="0.2">
      <c r="A31" s="75" t="str">
        <f>CONCATENATE("Total Tax Levy Funds for ",C6-1," Budgeted Year")</f>
        <v>Total Tax Levy Funds for 2025 Budgeted Year</v>
      </c>
      <c r="B31" s="61"/>
      <c r="C31" s="76"/>
      <c r="D31" s="77"/>
      <c r="E31" s="78">
        <f>SUM(E17:E30)</f>
        <v>1741700</v>
      </c>
    </row>
    <row r="32" spans="1:7" x14ac:dyDescent="0.2">
      <c r="A32" s="557"/>
      <c r="B32" s="33"/>
      <c r="C32" s="33"/>
      <c r="D32" s="51"/>
      <c r="E32" s="73"/>
    </row>
    <row r="33" spans="1:5" x14ac:dyDescent="0.2">
      <c r="A33" s="557" t="s">
        <v>100</v>
      </c>
      <c r="B33" s="33"/>
      <c r="C33" s="33"/>
      <c r="D33" s="33"/>
      <c r="E33" s="33"/>
    </row>
    <row r="34" spans="1:5" x14ac:dyDescent="0.2">
      <c r="A34" s="33"/>
      <c r="B34" s="49" t="s">
        <v>101</v>
      </c>
      <c r="C34" s="33"/>
      <c r="D34" s="72">
        <v>417359</v>
      </c>
      <c r="E34" s="33"/>
    </row>
    <row r="35" spans="1:5" x14ac:dyDescent="0.2">
      <c r="A35" s="33"/>
      <c r="B35" s="79" t="s">
        <v>858</v>
      </c>
      <c r="C35" s="33"/>
      <c r="D35" s="72">
        <v>0</v>
      </c>
      <c r="E35" s="33"/>
    </row>
    <row r="36" spans="1:5" x14ac:dyDescent="0.2">
      <c r="A36" s="33"/>
      <c r="B36" s="74" t="s">
        <v>753</v>
      </c>
      <c r="C36" s="33"/>
      <c r="D36" s="72">
        <v>64182</v>
      </c>
      <c r="E36" s="33"/>
    </row>
    <row r="37" spans="1:5" x14ac:dyDescent="0.2">
      <c r="A37" s="33"/>
      <c r="B37" s="74" t="s">
        <v>754</v>
      </c>
      <c r="C37" s="33"/>
      <c r="D37" s="72">
        <v>127743</v>
      </c>
      <c r="E37" s="33"/>
    </row>
    <row r="38" spans="1:5" x14ac:dyDescent="0.2">
      <c r="A38" s="33"/>
      <c r="B38" s="74"/>
      <c r="C38" s="33"/>
      <c r="D38" s="72"/>
      <c r="E38" s="33"/>
    </row>
    <row r="39" spans="1:5" x14ac:dyDescent="0.2">
      <c r="A39" s="33"/>
      <c r="B39" s="74"/>
      <c r="C39" s="33"/>
      <c r="D39" s="72"/>
      <c r="E39" s="33"/>
    </row>
    <row r="40" spans="1:5" x14ac:dyDescent="0.2">
      <c r="A40" s="33"/>
      <c r="B40" s="74"/>
      <c r="C40" s="33"/>
      <c r="D40" s="72"/>
      <c r="E40" s="33"/>
    </row>
    <row r="41" spans="1:5" x14ac:dyDescent="0.2">
      <c r="A41" s="33"/>
      <c r="B41" s="74"/>
      <c r="C41" s="33"/>
      <c r="D41" s="72"/>
      <c r="E41" s="33"/>
    </row>
    <row r="42" spans="1:5" x14ac:dyDescent="0.2">
      <c r="A42" s="33"/>
      <c r="B42" s="74"/>
      <c r="C42" s="33"/>
      <c r="D42" s="72"/>
      <c r="E42" s="33"/>
    </row>
    <row r="43" spans="1:5" x14ac:dyDescent="0.2">
      <c r="A43" s="33"/>
      <c r="B43" s="74"/>
      <c r="C43" s="33"/>
      <c r="D43" s="72"/>
      <c r="E43" s="33"/>
    </row>
    <row r="44" spans="1:5" x14ac:dyDescent="0.2">
      <c r="A44" s="33"/>
      <c r="B44" s="74"/>
      <c r="C44" s="33"/>
      <c r="D44" s="72"/>
      <c r="E44" s="33"/>
    </row>
    <row r="45" spans="1:5" x14ac:dyDescent="0.2">
      <c r="A45" s="33"/>
      <c r="B45" s="74"/>
      <c r="C45" s="33"/>
      <c r="D45" s="72"/>
      <c r="E45" s="33"/>
    </row>
    <row r="46" spans="1:5" x14ac:dyDescent="0.2">
      <c r="A46" s="33" t="s">
        <v>102</v>
      </c>
      <c r="B46" s="461"/>
      <c r="C46" s="33"/>
      <c r="D46" s="33"/>
      <c r="E46" s="33"/>
    </row>
    <row r="47" spans="1:5" x14ac:dyDescent="0.2">
      <c r="A47" s="33">
        <v>1</v>
      </c>
      <c r="B47" s="460" t="s">
        <v>755</v>
      </c>
      <c r="C47" s="33"/>
      <c r="D47" s="72">
        <v>2414462</v>
      </c>
      <c r="E47" s="33"/>
    </row>
    <row r="48" spans="1:5" x14ac:dyDescent="0.2">
      <c r="A48" s="33">
        <v>2</v>
      </c>
      <c r="B48" s="80" t="s">
        <v>756</v>
      </c>
      <c r="C48" s="33"/>
      <c r="D48" s="72">
        <v>41500</v>
      </c>
      <c r="E48" s="33"/>
    </row>
    <row r="49" spans="1:5" x14ac:dyDescent="0.2">
      <c r="A49" s="33">
        <v>3</v>
      </c>
      <c r="B49" s="80"/>
      <c r="C49" s="33"/>
      <c r="D49" s="72"/>
      <c r="E49" s="33"/>
    </row>
    <row r="50" spans="1:5" x14ac:dyDescent="0.2">
      <c r="A50" s="33">
        <v>4</v>
      </c>
      <c r="B50" s="80"/>
      <c r="C50" s="33"/>
      <c r="D50" s="72"/>
      <c r="E50" s="33"/>
    </row>
    <row r="51" spans="1:5" x14ac:dyDescent="0.2">
      <c r="A51" s="75" t="str">
        <f>CONCATENATE("Total Expenditures for ",C6-1," Budgeted Year")</f>
        <v>Total Expenditures for 2025 Budgeted Year</v>
      </c>
      <c r="B51" s="461"/>
      <c r="C51" s="81"/>
      <c r="D51" s="82">
        <f>SUM(D17:D19,D21:D30,D34:D45,D47:D50)</f>
        <v>10510748</v>
      </c>
      <c r="E51" s="33"/>
    </row>
    <row r="52" spans="1:5" x14ac:dyDescent="0.2">
      <c r="A52" s="33" t="s">
        <v>103</v>
      </c>
      <c r="B52" s="461"/>
      <c r="C52" s="33"/>
      <c r="D52" s="33"/>
      <c r="E52" s="33"/>
    </row>
    <row r="53" spans="1:5" x14ac:dyDescent="0.2">
      <c r="A53" s="33">
        <v>1</v>
      </c>
      <c r="B53" s="460" t="s">
        <v>757</v>
      </c>
      <c r="C53" s="33"/>
      <c r="D53" s="33"/>
      <c r="E53" s="33"/>
    </row>
    <row r="54" spans="1:5" x14ac:dyDescent="0.2">
      <c r="A54" s="33">
        <v>2</v>
      </c>
      <c r="B54" s="80" t="s">
        <v>758</v>
      </c>
      <c r="C54" s="33"/>
      <c r="D54" s="33"/>
      <c r="E54" s="33"/>
    </row>
    <row r="55" spans="1:5" x14ac:dyDescent="0.2">
      <c r="A55" s="33">
        <v>3</v>
      </c>
      <c r="B55" s="80" t="s">
        <v>759</v>
      </c>
      <c r="C55" s="33"/>
      <c r="D55" s="33"/>
      <c r="E55" s="33"/>
    </row>
    <row r="56" spans="1:5" x14ac:dyDescent="0.2">
      <c r="A56" s="33">
        <v>4</v>
      </c>
      <c r="B56" s="80" t="s">
        <v>760</v>
      </c>
      <c r="C56" s="33"/>
      <c r="D56" s="33"/>
      <c r="E56" s="33"/>
    </row>
    <row r="57" spans="1:5" x14ac:dyDescent="0.2">
      <c r="A57" s="33">
        <v>5</v>
      </c>
      <c r="B57" s="80" t="s">
        <v>761</v>
      </c>
      <c r="C57" s="33"/>
      <c r="D57" s="33"/>
      <c r="E57" s="33"/>
    </row>
    <row r="58" spans="1:5" x14ac:dyDescent="0.2">
      <c r="A58" s="33" t="s">
        <v>104</v>
      </c>
      <c r="B58" s="461"/>
      <c r="C58" s="33"/>
      <c r="D58" s="33"/>
      <c r="E58" s="33"/>
    </row>
    <row r="59" spans="1:5" x14ac:dyDescent="0.2">
      <c r="A59" s="33">
        <v>1</v>
      </c>
      <c r="B59" s="460" t="s">
        <v>762</v>
      </c>
      <c r="C59" s="33"/>
      <c r="D59" s="33"/>
      <c r="E59" s="33"/>
    </row>
    <row r="60" spans="1:5" x14ac:dyDescent="0.2">
      <c r="A60" s="33">
        <v>2</v>
      </c>
      <c r="B60" s="80" t="s">
        <v>763</v>
      </c>
      <c r="C60" s="33"/>
      <c r="D60" s="33"/>
      <c r="E60" s="33"/>
    </row>
    <row r="61" spans="1:5" x14ac:dyDescent="0.2">
      <c r="A61" s="33">
        <v>3</v>
      </c>
      <c r="B61" s="80" t="s">
        <v>764</v>
      </c>
      <c r="C61" s="33"/>
      <c r="D61" s="33"/>
      <c r="E61" s="33"/>
    </row>
    <row r="62" spans="1:5" x14ac:dyDescent="0.2">
      <c r="A62" s="33">
        <v>4</v>
      </c>
      <c r="B62" s="80" t="s">
        <v>765</v>
      </c>
      <c r="C62" s="33"/>
      <c r="D62" s="33"/>
      <c r="E62" s="33"/>
    </row>
    <row r="63" spans="1:5" x14ac:dyDescent="0.2">
      <c r="A63" s="33">
        <v>5</v>
      </c>
      <c r="B63" s="80" t="s">
        <v>766</v>
      </c>
      <c r="C63" s="33"/>
      <c r="D63" s="33"/>
      <c r="E63" s="33"/>
    </row>
    <row r="64" spans="1:5" x14ac:dyDescent="0.2">
      <c r="A64" s="33" t="s">
        <v>105</v>
      </c>
      <c r="B64" s="461"/>
      <c r="C64" s="33"/>
      <c r="D64" s="33"/>
      <c r="E64" s="33"/>
    </row>
    <row r="65" spans="1:5" x14ac:dyDescent="0.2">
      <c r="A65" s="33">
        <v>1</v>
      </c>
      <c r="B65" s="460" t="s">
        <v>767</v>
      </c>
      <c r="C65" s="33"/>
      <c r="D65" s="33"/>
      <c r="E65" s="33"/>
    </row>
    <row r="66" spans="1:5" x14ac:dyDescent="0.2">
      <c r="A66" s="33">
        <v>2</v>
      </c>
      <c r="B66" s="80" t="s">
        <v>768</v>
      </c>
      <c r="C66" s="33"/>
      <c r="D66" s="33"/>
      <c r="E66" s="33"/>
    </row>
    <row r="67" spans="1:5" x14ac:dyDescent="0.2">
      <c r="A67" s="33">
        <v>3</v>
      </c>
      <c r="B67" s="80" t="s">
        <v>769</v>
      </c>
      <c r="C67" s="33"/>
      <c r="D67" s="33"/>
      <c r="E67" s="33"/>
    </row>
    <row r="68" spans="1:5" x14ac:dyDescent="0.2">
      <c r="A68" s="33">
        <v>4</v>
      </c>
      <c r="B68" s="80" t="s">
        <v>770</v>
      </c>
      <c r="C68" s="33"/>
      <c r="D68" s="33"/>
      <c r="E68" s="33"/>
    </row>
    <row r="69" spans="1:5" x14ac:dyDescent="0.2">
      <c r="A69" s="33">
        <v>5</v>
      </c>
      <c r="B69" s="80" t="s">
        <v>771</v>
      </c>
      <c r="C69" s="33"/>
      <c r="D69" s="33"/>
      <c r="E69" s="33"/>
    </row>
    <row r="70" spans="1:5" x14ac:dyDescent="0.2">
      <c r="A70" s="33" t="s">
        <v>106</v>
      </c>
      <c r="B70" s="461"/>
      <c r="C70" s="33"/>
      <c r="D70" s="33"/>
      <c r="E70" s="33"/>
    </row>
    <row r="71" spans="1:5" x14ac:dyDescent="0.2">
      <c r="A71" s="33">
        <v>1</v>
      </c>
      <c r="B71" s="460" t="s">
        <v>772</v>
      </c>
      <c r="C71" s="33"/>
      <c r="D71" s="33"/>
      <c r="E71" s="33"/>
    </row>
    <row r="72" spans="1:5" x14ac:dyDescent="0.2">
      <c r="A72" s="33">
        <v>2</v>
      </c>
      <c r="B72" s="80"/>
      <c r="C72" s="33"/>
      <c r="D72" s="33"/>
      <c r="E72" s="33"/>
    </row>
    <row r="73" spans="1:5" x14ac:dyDescent="0.2">
      <c r="A73" s="33">
        <v>3</v>
      </c>
      <c r="B73" s="80"/>
      <c r="C73" s="33"/>
      <c r="D73" s="33"/>
      <c r="E73" s="33"/>
    </row>
    <row r="74" spans="1:5" x14ac:dyDescent="0.2">
      <c r="A74" s="33">
        <v>4</v>
      </c>
      <c r="B74" s="80"/>
      <c r="C74" s="33"/>
      <c r="D74" s="33"/>
      <c r="E74" s="33"/>
    </row>
    <row r="75" spans="1:5" x14ac:dyDescent="0.2">
      <c r="A75" s="33">
        <v>5</v>
      </c>
      <c r="B75" s="80"/>
      <c r="C75" s="33"/>
      <c r="D75" s="33"/>
      <c r="E75" s="33"/>
    </row>
    <row r="76" spans="1:5" x14ac:dyDescent="0.2">
      <c r="A76" s="557"/>
      <c r="B76" s="33"/>
      <c r="C76" s="33"/>
      <c r="D76" s="33"/>
      <c r="E76" s="83"/>
    </row>
    <row r="77" spans="1:5" x14ac:dyDescent="0.2">
      <c r="A77" s="33"/>
      <c r="B77" s="33"/>
      <c r="C77" s="33"/>
      <c r="D77" s="33"/>
      <c r="E77" s="33"/>
    </row>
    <row r="78" spans="1:5" x14ac:dyDescent="0.2">
      <c r="A78" s="33"/>
      <c r="B78" s="33"/>
      <c r="C78" s="33"/>
      <c r="D78" s="432" t="str">
        <f>CONCATENATE("",C6-3," Tax Rate")</f>
        <v>2023 Tax Rate</v>
      </c>
      <c r="E78" s="33"/>
    </row>
    <row r="79" spans="1:5" x14ac:dyDescent="0.2">
      <c r="A79" s="434" t="str">
        <f>CONCATENATE("From the ",C6-1," Budget, Budget Summary Page")</f>
        <v>From the 2025 Budget, Budget Summary Page</v>
      </c>
      <c r="B79" s="435"/>
      <c r="C79" s="33"/>
      <c r="D79" s="433" t="str">
        <f>CONCATENATE("(",C6-2," Column)")</f>
        <v>(2024 Column)</v>
      </c>
      <c r="E79" s="33"/>
    </row>
    <row r="80" spans="1:5" x14ac:dyDescent="0.2">
      <c r="A80" s="33"/>
      <c r="B80" s="50" t="str">
        <f>B17</f>
        <v>General</v>
      </c>
      <c r="C80" s="33"/>
      <c r="D80" s="80">
        <v>34.628</v>
      </c>
      <c r="E80" s="33"/>
    </row>
    <row r="81" spans="1:5" x14ac:dyDescent="0.2">
      <c r="A81" s="33"/>
      <c r="B81" s="47" t="str">
        <f>B18</f>
        <v>Debt Service</v>
      </c>
      <c r="C81" s="33"/>
      <c r="D81" s="80">
        <v>5.9089999999999998</v>
      </c>
      <c r="E81" s="33"/>
    </row>
    <row r="82" spans="1:5" x14ac:dyDescent="0.2">
      <c r="A82" s="33"/>
      <c r="B82" s="47" t="str">
        <f>B19</f>
        <v>Library</v>
      </c>
      <c r="C82" s="33"/>
      <c r="D82" s="80">
        <v>5.085</v>
      </c>
      <c r="E82" s="33"/>
    </row>
    <row r="83" spans="1:5" x14ac:dyDescent="0.2">
      <c r="A83" s="33"/>
      <c r="B83" s="47" t="str">
        <f t="shared" ref="B83:B92" si="0">B21</f>
        <v>Library Employee Benefit</v>
      </c>
      <c r="C83" s="33"/>
      <c r="D83" s="80">
        <v>1.829</v>
      </c>
      <c r="E83" s="33"/>
    </row>
    <row r="84" spans="1:5" x14ac:dyDescent="0.2">
      <c r="A84" s="33"/>
      <c r="B84" s="47" t="str">
        <f t="shared" si="0"/>
        <v>Economic Development</v>
      </c>
      <c r="C84" s="33"/>
      <c r="D84" s="80">
        <v>1.351</v>
      </c>
      <c r="E84" s="33"/>
    </row>
    <row r="85" spans="1:5" x14ac:dyDescent="0.2">
      <c r="A85" s="33"/>
      <c r="B85" s="47">
        <f t="shared" si="0"/>
        <v>0</v>
      </c>
      <c r="C85" s="33"/>
      <c r="D85" s="80"/>
      <c r="E85" s="33"/>
    </row>
    <row r="86" spans="1:5" x14ac:dyDescent="0.2">
      <c r="A86" s="33"/>
      <c r="B86" s="47">
        <f t="shared" si="0"/>
        <v>0</v>
      </c>
      <c r="C86" s="33"/>
      <c r="D86" s="80"/>
      <c r="E86" s="33"/>
    </row>
    <row r="87" spans="1:5" x14ac:dyDescent="0.2">
      <c r="A87" s="33"/>
      <c r="B87" s="47">
        <f t="shared" si="0"/>
        <v>0</v>
      </c>
      <c r="C87" s="33"/>
      <c r="D87" s="80"/>
      <c r="E87" s="33"/>
    </row>
    <row r="88" spans="1:5" x14ac:dyDescent="0.2">
      <c r="A88" s="33"/>
      <c r="B88" s="47">
        <f t="shared" si="0"/>
        <v>0</v>
      </c>
      <c r="C88" s="33"/>
      <c r="D88" s="80"/>
      <c r="E88" s="33"/>
    </row>
    <row r="89" spans="1:5" x14ac:dyDescent="0.2">
      <c r="A89" s="33"/>
      <c r="B89" s="47">
        <f t="shared" si="0"/>
        <v>0</v>
      </c>
      <c r="C89" s="33"/>
      <c r="D89" s="80"/>
      <c r="E89" s="33"/>
    </row>
    <row r="90" spans="1:5" x14ac:dyDescent="0.2">
      <c r="A90" s="33"/>
      <c r="B90" s="47">
        <f t="shared" si="0"/>
        <v>0</v>
      </c>
      <c r="C90" s="33"/>
      <c r="D90" s="80"/>
      <c r="E90" s="33"/>
    </row>
    <row r="91" spans="1:5" x14ac:dyDescent="0.2">
      <c r="A91" s="33"/>
      <c r="B91" s="47">
        <f t="shared" si="0"/>
        <v>0</v>
      </c>
      <c r="C91" s="33"/>
      <c r="D91" s="80"/>
      <c r="E91" s="33"/>
    </row>
    <row r="92" spans="1:5" x14ac:dyDescent="0.2">
      <c r="A92" s="33"/>
      <c r="B92" s="47">
        <f t="shared" si="0"/>
        <v>0</v>
      </c>
      <c r="C92" s="33"/>
      <c r="D92" s="80"/>
      <c r="E92" s="33"/>
    </row>
    <row r="93" spans="1:5" x14ac:dyDescent="0.2">
      <c r="A93" s="75" t="s">
        <v>107</v>
      </c>
      <c r="B93" s="61"/>
      <c r="C93" s="81"/>
      <c r="D93" s="84">
        <f>SUM(D80:D92)</f>
        <v>48.802</v>
      </c>
      <c r="E93" s="33"/>
    </row>
    <row r="94" spans="1:5" x14ac:dyDescent="0.2">
      <c r="A94" s="33"/>
      <c r="B94" s="33"/>
      <c r="C94" s="33"/>
      <c r="D94" s="33"/>
      <c r="E94" s="33"/>
    </row>
    <row r="95" spans="1:5" x14ac:dyDescent="0.2">
      <c r="A95" s="436" t="str">
        <f>CONCATENATE("Total Tax Levied (",C6-2," budget column)")</f>
        <v>Total Tax Levied (2024 budget column)</v>
      </c>
      <c r="B95" s="437"/>
      <c r="C95" s="61"/>
      <c r="D95" s="81"/>
      <c r="E95" s="72">
        <v>1652054</v>
      </c>
    </row>
    <row r="96" spans="1:5" x14ac:dyDescent="0.2">
      <c r="A96" s="436" t="str">
        <f>CONCATENATE("Assessed Valuation  (",C6-2," budget column)")</f>
        <v>Assessed Valuation  (2024 budget column)</v>
      </c>
      <c r="B96" s="437"/>
      <c r="C96" s="76"/>
      <c r="D96" s="85"/>
      <c r="E96" s="72">
        <v>33858026</v>
      </c>
    </row>
    <row r="97" spans="1:5" x14ac:dyDescent="0.2">
      <c r="A97" s="557"/>
      <c r="B97" s="33"/>
      <c r="C97" s="33"/>
      <c r="D97" s="33"/>
      <c r="E97" s="83"/>
    </row>
    <row r="98" spans="1:5" x14ac:dyDescent="0.2">
      <c r="A98" s="438" t="str">
        <f>CONCATENATE("From the ",C6-1," Budget, Budget Summary Page")</f>
        <v>From the 2025 Budget, Budget Summary Page</v>
      </c>
      <c r="B98" s="439"/>
      <c r="C98" s="33"/>
      <c r="D98" s="86"/>
      <c r="E98" s="87"/>
    </row>
    <row r="99" spans="1:5" x14ac:dyDescent="0.2">
      <c r="A99" s="440" t="s">
        <v>108</v>
      </c>
      <c r="B99" s="441"/>
      <c r="C99" s="88"/>
      <c r="D99" s="89">
        <f>C6-3</f>
        <v>2023</v>
      </c>
      <c r="E99" s="90">
        <f>C6-2</f>
        <v>2024</v>
      </c>
    </row>
    <row r="100" spans="1:5" x14ac:dyDescent="0.2">
      <c r="A100" s="442" t="s">
        <v>109</v>
      </c>
      <c r="B100" s="443"/>
      <c r="C100" s="91"/>
      <c r="D100" s="92">
        <v>6465000</v>
      </c>
      <c r="E100" s="92">
        <v>6095000</v>
      </c>
    </row>
    <row r="101" spans="1:5" x14ac:dyDescent="0.2">
      <c r="A101" s="444" t="s">
        <v>110</v>
      </c>
      <c r="B101" s="445"/>
      <c r="C101" s="94"/>
      <c r="D101" s="92">
        <v>0</v>
      </c>
      <c r="E101" s="92">
        <v>0</v>
      </c>
    </row>
    <row r="102" spans="1:5" x14ac:dyDescent="0.2">
      <c r="A102" s="444" t="s">
        <v>111</v>
      </c>
      <c r="B102" s="445"/>
      <c r="C102" s="94"/>
      <c r="D102" s="92">
        <v>0</v>
      </c>
      <c r="E102" s="92">
        <v>1340000</v>
      </c>
    </row>
    <row r="103" spans="1:5" x14ac:dyDescent="0.2">
      <c r="A103" s="444" t="s">
        <v>112</v>
      </c>
      <c r="B103" s="445"/>
      <c r="C103" s="94"/>
      <c r="D103" s="92">
        <v>8979</v>
      </c>
      <c r="E103" s="92">
        <v>6104</v>
      </c>
    </row>
    <row r="104" spans="1:5" x14ac:dyDescent="0.2">
      <c r="A104" s="29"/>
      <c r="B104" s="29"/>
      <c r="C104" s="29"/>
      <c r="D104" s="29"/>
      <c r="E104" s="29"/>
    </row>
    <row r="105" spans="1:5" x14ac:dyDescent="0.2">
      <c r="A105" s="29"/>
      <c r="B105" s="29"/>
      <c r="C105" s="29"/>
      <c r="D105" s="29"/>
      <c r="E105" s="29"/>
    </row>
    <row r="106" spans="1:5" x14ac:dyDescent="0.2">
      <c r="A106" s="29"/>
      <c r="B106" s="29"/>
      <c r="C106" s="29"/>
      <c r="D106" s="29"/>
      <c r="E106" s="29"/>
    </row>
    <row r="107" spans="1:5" x14ac:dyDescent="0.2">
      <c r="A107" s="29"/>
      <c r="B107" s="29"/>
      <c r="C107" s="29"/>
      <c r="D107" s="29"/>
      <c r="E107" s="29"/>
    </row>
    <row r="108" spans="1:5" x14ac:dyDescent="0.2">
      <c r="A108" s="29"/>
      <c r="B108" s="29"/>
      <c r="C108" s="29"/>
      <c r="D108" s="29"/>
      <c r="E108" s="29"/>
    </row>
    <row r="109" spans="1:5" x14ac:dyDescent="0.2">
      <c r="A109" s="29"/>
      <c r="B109" s="29"/>
      <c r="C109" s="29"/>
      <c r="D109" s="29"/>
      <c r="E109" s="29"/>
    </row>
    <row r="110" spans="1:5" s="29" customFormat="1" ht="15" x14ac:dyDescent="0.2"/>
    <row r="111" spans="1:5" x14ac:dyDescent="0.2">
      <c r="A111" s="29"/>
      <c r="B111" s="29"/>
      <c r="C111" s="29"/>
      <c r="D111" s="29"/>
      <c r="E111" s="29"/>
    </row>
    <row r="112" spans="1:5" x14ac:dyDescent="0.2">
      <c r="A112" s="29"/>
      <c r="B112" s="29"/>
      <c r="C112" s="29"/>
      <c r="D112" s="29"/>
      <c r="E112" s="29"/>
    </row>
    <row r="113" spans="1:5" x14ac:dyDescent="0.2">
      <c r="A113" s="29"/>
      <c r="B113" s="29"/>
      <c r="C113" s="29"/>
      <c r="D113" s="29"/>
      <c r="E113" s="29"/>
    </row>
    <row r="114" spans="1:5" x14ac:dyDescent="0.2">
      <c r="A114" s="29"/>
      <c r="B114" s="29"/>
      <c r="C114" s="29"/>
      <c r="D114" s="29"/>
      <c r="E114" s="29"/>
    </row>
    <row r="115" spans="1:5" x14ac:dyDescent="0.2">
      <c r="A115" s="29"/>
      <c r="B115" s="29"/>
      <c r="C115" s="29"/>
      <c r="D115" s="29"/>
      <c r="E115" s="29"/>
    </row>
    <row r="116" spans="1:5" x14ac:dyDescent="0.2">
      <c r="A116" s="29"/>
      <c r="B116" s="29"/>
      <c r="C116" s="29"/>
      <c r="D116" s="29"/>
      <c r="E116" s="29"/>
    </row>
    <row r="117" spans="1:5" x14ac:dyDescent="0.2">
      <c r="A117" s="29"/>
      <c r="B117" s="29"/>
      <c r="C117" s="29"/>
      <c r="D117" s="29"/>
      <c r="E117" s="29"/>
    </row>
    <row r="118" spans="1:5" x14ac:dyDescent="0.2">
      <c r="A118" s="29"/>
      <c r="B118" s="29"/>
      <c r="C118" s="29"/>
      <c r="D118" s="29"/>
      <c r="E118" s="29"/>
    </row>
    <row r="119" spans="1:5" x14ac:dyDescent="0.2">
      <c r="A119" s="29"/>
      <c r="B119" s="29"/>
      <c r="C119" s="29"/>
      <c r="D119" s="29"/>
      <c r="E119" s="29"/>
    </row>
    <row r="120" spans="1:5" x14ac:dyDescent="0.2">
      <c r="A120" s="29"/>
      <c r="B120" s="29"/>
      <c r="C120" s="29"/>
      <c r="D120" s="29"/>
      <c r="E120" s="29"/>
    </row>
    <row r="121" spans="1:5" x14ac:dyDescent="0.2">
      <c r="A121" s="29"/>
      <c r="B121" s="29"/>
      <c r="C121" s="29"/>
      <c r="D121" s="29"/>
      <c r="E121" s="29"/>
    </row>
  </sheetData>
  <sheetProtection sheet="1"/>
  <mergeCells count="6">
    <mergeCell ref="A10:E10"/>
    <mergeCell ref="A1:E1"/>
    <mergeCell ref="A7:E9"/>
    <mergeCell ref="G8:H14"/>
    <mergeCell ref="D4:E4"/>
    <mergeCell ref="D3:E3"/>
  </mergeCells>
  <phoneticPr fontId="0" type="noConversion"/>
  <pageMargins left="0.5" right="0.5" top="1" bottom="0.5" header="0.5" footer="0.25"/>
  <pageSetup scale="78" fitToHeight="2" orientation="portrait" blackAndWhite="1" horizontalDpi="120" verticalDpi="14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tabColor rgb="FF00B0F0"/>
    <pageSetUpPr fitToPage="1"/>
  </sheetPr>
  <dimension ref="B1:E42"/>
  <sheetViews>
    <sheetView topLeftCell="A10" workbookViewId="0">
      <selection activeCell="D36" sqref="D36"/>
    </sheetView>
  </sheetViews>
  <sheetFormatPr defaultColWidth="8.88671875" defaultRowHeight="15" x14ac:dyDescent="0.2"/>
  <cols>
    <col min="1" max="1" width="2.44140625" style="29" customWidth="1"/>
    <col min="2" max="2" width="31.109375" style="29" customWidth="1"/>
    <col min="3" max="4" width="15.77734375" style="29" customWidth="1"/>
    <col min="5" max="5" width="16.21875" style="29" customWidth="1"/>
    <col min="6" max="16384" width="8.88671875" style="29"/>
  </cols>
  <sheetData>
    <row r="1" spans="2:5" ht="15.75" x14ac:dyDescent="0.2">
      <c r="B1" s="51" t="str">
        <f>(inputPrYr!D3)</f>
        <v>City of Concordia</v>
      </c>
      <c r="C1" s="33"/>
      <c r="D1" s="33"/>
      <c r="E1" s="145">
        <f>inputPrYr!$C$6</f>
        <v>2026</v>
      </c>
    </row>
    <row r="2" spans="2:5" ht="15.75" x14ac:dyDescent="0.2">
      <c r="B2" s="33"/>
      <c r="C2" s="33"/>
      <c r="D2" s="33"/>
      <c r="E2" s="62"/>
    </row>
    <row r="3" spans="2:5" ht="15.75" x14ac:dyDescent="0.2">
      <c r="B3" s="146" t="s">
        <v>372</v>
      </c>
      <c r="C3" s="147"/>
      <c r="D3" s="147"/>
      <c r="E3" s="148"/>
    </row>
    <row r="4" spans="2:5" ht="15.75" x14ac:dyDescent="0.2">
      <c r="B4" s="557" t="s">
        <v>320</v>
      </c>
      <c r="C4" s="149" t="s">
        <v>321</v>
      </c>
      <c r="D4" s="150" t="s">
        <v>268</v>
      </c>
      <c r="E4" s="43" t="s">
        <v>323</v>
      </c>
    </row>
    <row r="5" spans="2:5" ht="15.75" x14ac:dyDescent="0.2">
      <c r="B5" s="270" t="str">
        <f>(inputPrYr!B48)</f>
        <v>Gas Utility</v>
      </c>
      <c r="C5" s="563" t="str">
        <f>CONCATENATE("Actual for ",E1-2,"")</f>
        <v>Actual for 2024</v>
      </c>
      <c r="D5" s="563" t="str">
        <f>CONCATENATE("Estimate for ",E1-1,"")</f>
        <v>Estimate for 2025</v>
      </c>
      <c r="E5" s="151" t="str">
        <f>CONCATENATE("Year for ",E1,"")</f>
        <v>Year for 2026</v>
      </c>
    </row>
    <row r="6" spans="2:5" ht="15.75" x14ac:dyDescent="0.2">
      <c r="B6" s="560" t="s">
        <v>324</v>
      </c>
      <c r="C6" s="72">
        <v>40360</v>
      </c>
      <c r="D6" s="154">
        <f>C35</f>
        <v>40999</v>
      </c>
      <c r="E6" s="154">
        <f>D35</f>
        <v>0</v>
      </c>
    </row>
    <row r="7" spans="2:5" ht="15.75" x14ac:dyDescent="0.2">
      <c r="B7" s="155" t="s">
        <v>325</v>
      </c>
      <c r="C7" s="47"/>
      <c r="D7" s="47"/>
      <c r="E7" s="47"/>
    </row>
    <row r="8" spans="2:5" ht="15.75" x14ac:dyDescent="0.2">
      <c r="B8" s="156" t="s">
        <v>815</v>
      </c>
      <c r="C8" s="157">
        <v>639</v>
      </c>
      <c r="D8" s="157">
        <v>403</v>
      </c>
      <c r="E8" s="157">
        <v>0</v>
      </c>
    </row>
    <row r="9" spans="2:5" ht="15.75" x14ac:dyDescent="0.2">
      <c r="B9" s="156"/>
      <c r="C9" s="157"/>
      <c r="D9" s="157"/>
      <c r="E9" s="157"/>
    </row>
    <row r="10" spans="2:5" ht="15.75" x14ac:dyDescent="0.2">
      <c r="B10" s="156"/>
      <c r="C10" s="157"/>
      <c r="D10" s="157"/>
      <c r="E10" s="157"/>
    </row>
    <row r="11" spans="2:5" ht="15.75" x14ac:dyDescent="0.2">
      <c r="B11" s="156"/>
      <c r="C11" s="157"/>
      <c r="D11" s="157"/>
      <c r="E11" s="157"/>
    </row>
    <row r="12" spans="2:5" ht="15.75" x14ac:dyDescent="0.2">
      <c r="B12" s="159" t="s">
        <v>336</v>
      </c>
      <c r="C12" s="157"/>
      <c r="D12" s="157"/>
      <c r="E12" s="157"/>
    </row>
    <row r="13" spans="2:5" ht="15.75" x14ac:dyDescent="0.2">
      <c r="B13" s="117" t="s">
        <v>338</v>
      </c>
      <c r="C13" s="157"/>
      <c r="D13" s="174"/>
      <c r="E13" s="174"/>
    </row>
    <row r="14" spans="2:5" ht="15.75" x14ac:dyDescent="0.2">
      <c r="B14" s="571" t="s">
        <v>339</v>
      </c>
      <c r="C14" s="167" t="str">
        <f>IF(C15*0.1&lt;C13,"Exceed 10% Rule","")</f>
        <v/>
      </c>
      <c r="D14" s="161" t="str">
        <f>IF(D15*0.1&lt;D13,"Exceed 10% Rule","")</f>
        <v/>
      </c>
      <c r="E14" s="161" t="str">
        <f>IF(E15*0.1&lt;E13,"Exceed 10% Rule","")</f>
        <v/>
      </c>
    </row>
    <row r="15" spans="2:5" ht="15.75" x14ac:dyDescent="0.2">
      <c r="B15" s="162" t="s">
        <v>340</v>
      </c>
      <c r="C15" s="165">
        <f>SUM(C8:C13)</f>
        <v>639</v>
      </c>
      <c r="D15" s="165">
        <f>SUM(D8:D13)</f>
        <v>403</v>
      </c>
      <c r="E15" s="165">
        <f>SUM(E8:E13)</f>
        <v>0</v>
      </c>
    </row>
    <row r="16" spans="2:5" ht="15.75" x14ac:dyDescent="0.2">
      <c r="B16" s="162" t="s">
        <v>341</v>
      </c>
      <c r="C16" s="165">
        <f>C6+C15</f>
        <v>40999</v>
      </c>
      <c r="D16" s="165">
        <f>D6+D15</f>
        <v>41402</v>
      </c>
      <c r="E16" s="165">
        <f>E6+E15</f>
        <v>0</v>
      </c>
    </row>
    <row r="17" spans="2:5" ht="15.75" x14ac:dyDescent="0.2">
      <c r="B17" s="560" t="s">
        <v>343</v>
      </c>
      <c r="C17" s="47"/>
      <c r="D17" s="47"/>
      <c r="E17" s="47"/>
    </row>
    <row r="18" spans="2:5" ht="15.75" x14ac:dyDescent="0.2">
      <c r="B18" s="156" t="s">
        <v>851</v>
      </c>
      <c r="C18" s="157"/>
      <c r="D18" s="157"/>
      <c r="E18" s="157"/>
    </row>
    <row r="19" spans="2:5" ht="15.75" x14ac:dyDescent="0.2">
      <c r="B19" s="156" t="s">
        <v>872</v>
      </c>
      <c r="C19" s="157"/>
      <c r="D19" s="157">
        <v>41402</v>
      </c>
      <c r="E19" s="157"/>
    </row>
    <row r="20" spans="2:5" ht="15.75" x14ac:dyDescent="0.2">
      <c r="B20" s="156"/>
      <c r="C20" s="96"/>
      <c r="D20" s="96"/>
      <c r="E20" s="96"/>
    </row>
    <row r="21" spans="2:5" ht="15.75" x14ac:dyDescent="0.2">
      <c r="B21" s="156"/>
      <c r="C21" s="96"/>
      <c r="D21" s="96"/>
      <c r="E21" s="96"/>
    </row>
    <row r="22" spans="2:5" ht="15.75" x14ac:dyDescent="0.2">
      <c r="B22" s="156"/>
      <c r="C22" s="96"/>
      <c r="D22" s="96"/>
      <c r="E22" s="96"/>
    </row>
    <row r="23" spans="2:5" ht="15.75" x14ac:dyDescent="0.2">
      <c r="B23" s="156"/>
      <c r="C23" s="157"/>
      <c r="D23" s="157"/>
      <c r="E23" s="157"/>
    </row>
    <row r="24" spans="2:5" ht="15.75" x14ac:dyDescent="0.2">
      <c r="B24" s="156"/>
      <c r="C24" s="157"/>
      <c r="D24" s="157"/>
      <c r="E24" s="157"/>
    </row>
    <row r="25" spans="2:5" ht="15.75" x14ac:dyDescent="0.2">
      <c r="B25" s="156"/>
      <c r="C25" s="157"/>
      <c r="D25" s="157"/>
      <c r="E25" s="157"/>
    </row>
    <row r="26" spans="2:5" ht="15.75" x14ac:dyDescent="0.2">
      <c r="B26" s="156"/>
      <c r="C26" s="157"/>
      <c r="D26" s="157"/>
      <c r="E26" s="157"/>
    </row>
    <row r="27" spans="2:5" ht="15.75" x14ac:dyDescent="0.2">
      <c r="B27" s="156"/>
      <c r="C27" s="157"/>
      <c r="D27" s="157"/>
      <c r="E27" s="157"/>
    </row>
    <row r="28" spans="2:5" ht="15.75" x14ac:dyDescent="0.2">
      <c r="B28" s="156"/>
      <c r="C28" s="157"/>
      <c r="D28" s="157"/>
      <c r="E28" s="157"/>
    </row>
    <row r="29" spans="2:5" ht="15.75" x14ac:dyDescent="0.2">
      <c r="B29" s="156"/>
      <c r="C29" s="157"/>
      <c r="D29" s="157"/>
      <c r="E29" s="157"/>
    </row>
    <row r="30" spans="2:5" ht="15.75" x14ac:dyDescent="0.2">
      <c r="B30" s="156"/>
      <c r="C30" s="157"/>
      <c r="D30" s="157"/>
      <c r="E30" s="157"/>
    </row>
    <row r="31" spans="2:5" ht="15.75" x14ac:dyDescent="0.2">
      <c r="B31" s="166" t="str">
        <f>CONCATENATE("Cash Reserve (",E1," column)")</f>
        <v>Cash Reserve (2026 column)</v>
      </c>
      <c r="C31" s="157"/>
      <c r="D31" s="157"/>
      <c r="E31" s="157"/>
    </row>
    <row r="32" spans="2:5" ht="15.75" x14ac:dyDescent="0.2">
      <c r="B32" s="166" t="s">
        <v>338</v>
      </c>
      <c r="C32" s="157"/>
      <c r="D32" s="174"/>
      <c r="E32" s="174"/>
    </row>
    <row r="33" spans="2:5" ht="15.75" x14ac:dyDescent="0.2">
      <c r="B33" s="166" t="s">
        <v>349</v>
      </c>
      <c r="C33" s="167" t="str">
        <f>IF(C34*0.1&lt;C32,"Exceed 10% Rule","")</f>
        <v/>
      </c>
      <c r="D33" s="161" t="str">
        <f>IF(D34*0.1&lt;D32,"Exceed 10% Rule","")</f>
        <v/>
      </c>
      <c r="E33" s="161" t="str">
        <f>IF(E34*0.1&lt;E32,"Exceed 10% Rule","")</f>
        <v/>
      </c>
    </row>
    <row r="34" spans="2:5" ht="15.75" x14ac:dyDescent="0.2">
      <c r="B34" s="162" t="s">
        <v>351</v>
      </c>
      <c r="C34" s="165">
        <f>SUM(C18:C32)</f>
        <v>0</v>
      </c>
      <c r="D34" s="165">
        <f>SUM(D18:D32)</f>
        <v>41402</v>
      </c>
      <c r="E34" s="165">
        <f>SUM(E18:E32)</f>
        <v>0</v>
      </c>
    </row>
    <row r="35" spans="2:5" ht="15.75" x14ac:dyDescent="0.2">
      <c r="B35" s="560" t="s">
        <v>352</v>
      </c>
      <c r="C35" s="82">
        <f>C16-C34</f>
        <v>40999</v>
      </c>
      <c r="D35" s="82">
        <f>D16-D34</f>
        <v>0</v>
      </c>
      <c r="E35" s="82">
        <f>E16-E34</f>
        <v>0</v>
      </c>
    </row>
    <row r="36" spans="2:5" ht="15.75" x14ac:dyDescent="0.2">
      <c r="B36" s="121" t="str">
        <f>CONCATENATE("",E1-2,"/",E1-1,"/",E1," Budget Authority Amount:")</f>
        <v>2024/2025/2026 Budget Authority Amount:</v>
      </c>
      <c r="C36" s="180">
        <f>inputOth!B90</f>
        <v>40035</v>
      </c>
      <c r="D36" s="180">
        <f>inputPrYr!D48</f>
        <v>41500</v>
      </c>
      <c r="E36" s="429">
        <f>E34</f>
        <v>0</v>
      </c>
    </row>
    <row r="37" spans="2:5" ht="15.75" x14ac:dyDescent="0.2">
      <c r="B37" s="564"/>
      <c r="C37" s="169" t="str">
        <f>IF(C34&gt;C36,"See Tab A","")</f>
        <v/>
      </c>
      <c r="D37" s="169" t="str">
        <f>IF(D34&gt;D36,"See Tab C","")</f>
        <v/>
      </c>
      <c r="E37" s="428" t="str">
        <f>IF(E35&lt;0,"See Tab E","")</f>
        <v/>
      </c>
    </row>
    <row r="38" spans="2:5" ht="15.75" x14ac:dyDescent="0.2">
      <c r="B38" s="497" t="s">
        <v>160</v>
      </c>
      <c r="C38" s="482"/>
      <c r="D38" s="482"/>
      <c r="E38" s="488"/>
    </row>
    <row r="39" spans="2:5" ht="15.75" x14ac:dyDescent="0.2">
      <c r="B39" s="493"/>
      <c r="C39" s="169"/>
      <c r="D39" s="169"/>
      <c r="E39" s="490"/>
    </row>
    <row r="40" spans="2:5" ht="15.75" x14ac:dyDescent="0.2">
      <c r="B40" s="494"/>
      <c r="C40" s="492" t="str">
        <f>IF(C35&lt;0,"See Tab B","")</f>
        <v/>
      </c>
      <c r="D40" s="492" t="str">
        <f>IF(D35&lt;0,"See Tab D","")</f>
        <v/>
      </c>
      <c r="E40" s="102"/>
    </row>
    <row r="41" spans="2:5" x14ac:dyDescent="0.2">
      <c r="B41" s="73"/>
      <c r="C41" s="73"/>
      <c r="D41" s="73"/>
      <c r="E41" s="73"/>
    </row>
    <row r="42" spans="2:5" ht="15.75" x14ac:dyDescent="0.2">
      <c r="B42" s="62" t="s">
        <v>364</v>
      </c>
      <c r="C42" s="462">
        <v>13</v>
      </c>
      <c r="D42" s="73"/>
      <c r="E42" s="73"/>
    </row>
  </sheetData>
  <phoneticPr fontId="9" type="noConversion"/>
  <conditionalFormatting sqref="C13">
    <cfRule type="cellIs" dxfId="10" priority="6" stopIfTrue="1" operator="greaterThan">
      <formula>$C$15*0.1</formula>
    </cfRule>
  </conditionalFormatting>
  <conditionalFormatting sqref="C32">
    <cfRule type="cellIs" dxfId="9" priority="7" stopIfTrue="1" operator="greaterThan">
      <formula>$C$34*0.1</formula>
    </cfRule>
  </conditionalFormatting>
  <conditionalFormatting sqref="C34">
    <cfRule type="cellIs" dxfId="8" priority="9" stopIfTrue="1" operator="greaterThan">
      <formula>$C$36</formula>
    </cfRule>
  </conditionalFormatting>
  <conditionalFormatting sqref="C35 E35">
    <cfRule type="cellIs" dxfId="7" priority="10" stopIfTrue="1" operator="lessThan">
      <formula>0</formula>
    </cfRule>
  </conditionalFormatting>
  <conditionalFormatting sqref="D13">
    <cfRule type="cellIs" dxfId="6" priority="4" stopIfTrue="1" operator="greaterThan">
      <formula>$D$15*0.1</formula>
    </cfRule>
  </conditionalFormatting>
  <conditionalFormatting sqref="D32">
    <cfRule type="cellIs" dxfId="5" priority="5" stopIfTrue="1" operator="greaterThan">
      <formula>$D$34*0.1</formula>
    </cfRule>
  </conditionalFormatting>
  <conditionalFormatting sqref="D34">
    <cfRule type="cellIs" dxfId="4" priority="8" stopIfTrue="1" operator="greaterThan">
      <formula>$D$36</formula>
    </cfRule>
  </conditionalFormatting>
  <conditionalFormatting sqref="D35">
    <cfRule type="cellIs" dxfId="3" priority="1" stopIfTrue="1" operator="lessThan">
      <formula>0</formula>
    </cfRule>
  </conditionalFormatting>
  <conditionalFormatting sqref="E13">
    <cfRule type="cellIs" dxfId="2" priority="2" stopIfTrue="1" operator="greaterThan">
      <formula>$E$15*0.1</formula>
    </cfRule>
  </conditionalFormatting>
  <conditionalFormatting sqref="E32">
    <cfRule type="cellIs" dxfId="1" priority="3" stopIfTrue="1" operator="greaterThan">
      <formula>$E$34*0.1</formula>
    </cfRule>
  </conditionalFormatting>
  <pageMargins left="0.75" right="0.75" top="1" bottom="1" header="0.5" footer="0.5"/>
  <pageSetup scale="85" orientation="portrait" blackAndWhite="1" r:id="rId1"/>
  <headerFooter alignWithMargins="0">
    <oddHeader>&amp;RState of Kansas
City</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9">
    <tabColor rgb="FF00B0F0"/>
    <pageSetUpPr fitToPage="1"/>
  </sheetPr>
  <dimension ref="A1:L45"/>
  <sheetViews>
    <sheetView workbookViewId="0">
      <selection activeCell="F38" sqref="F38"/>
    </sheetView>
  </sheetViews>
  <sheetFormatPr defaultColWidth="8.88671875" defaultRowHeight="15.75" x14ac:dyDescent="0.2"/>
  <cols>
    <col min="1" max="1" width="11.5546875" style="30" customWidth="1"/>
    <col min="2" max="2" width="7.44140625" style="30" customWidth="1"/>
    <col min="3" max="3" width="11.5546875" style="30" customWidth="1"/>
    <col min="4" max="4" width="7.44140625" style="30" customWidth="1"/>
    <col min="5" max="5" width="11.5546875" style="30" customWidth="1"/>
    <col min="6" max="6" width="7.44140625" style="30" customWidth="1"/>
    <col min="7" max="7" width="11.5546875" style="30" customWidth="1"/>
    <col min="8" max="8" width="7.44140625" style="30" customWidth="1"/>
    <col min="9" max="9" width="11.5546875" style="30" customWidth="1"/>
    <col min="10" max="16384" width="8.88671875" style="30"/>
  </cols>
  <sheetData>
    <row r="1" spans="1:11" x14ac:dyDescent="0.2">
      <c r="A1" s="51" t="str">
        <f>inputPrYr!$D$3</f>
        <v>City of Concordia</v>
      </c>
      <c r="B1" s="559"/>
      <c r="C1" s="33"/>
      <c r="D1" s="33"/>
      <c r="E1" s="33"/>
      <c r="F1" s="561" t="s">
        <v>375</v>
      </c>
      <c r="G1" s="33"/>
      <c r="H1" s="33"/>
      <c r="I1" s="33"/>
      <c r="J1" s="33"/>
      <c r="K1" s="33">
        <f>inputPrYr!$C$6</f>
        <v>2026</v>
      </c>
    </row>
    <row r="2" spans="1:11" x14ac:dyDescent="0.2">
      <c r="A2" s="688" t="str">
        <f>CONCATENATE("(Only the actual budget year for ",K1-2," is reported)")</f>
        <v>(Only the actual budget year for 2024 is reported)</v>
      </c>
      <c r="B2" s="688"/>
      <c r="C2" s="688"/>
      <c r="D2" s="688"/>
      <c r="E2" s="688"/>
      <c r="F2" s="688"/>
      <c r="G2" s="688"/>
      <c r="H2" s="688"/>
      <c r="I2" s="688"/>
      <c r="J2" s="688"/>
      <c r="K2" s="688"/>
    </row>
    <row r="3" spans="1:11" x14ac:dyDescent="0.2">
      <c r="A3" s="33" t="s">
        <v>376</v>
      </c>
      <c r="B3" s="33"/>
      <c r="C3" s="33"/>
      <c r="D3" s="33"/>
      <c r="E3" s="33"/>
      <c r="F3" s="569"/>
      <c r="G3" s="33"/>
      <c r="H3" s="33"/>
      <c r="I3" s="33"/>
      <c r="J3" s="33"/>
      <c r="K3" s="33"/>
    </row>
    <row r="4" spans="1:11" x14ac:dyDescent="0.2">
      <c r="A4" s="33" t="s">
        <v>377</v>
      </c>
      <c r="B4" s="33"/>
      <c r="C4" s="33" t="s">
        <v>378</v>
      </c>
      <c r="D4" s="33"/>
      <c r="E4" s="33" t="s">
        <v>379</v>
      </c>
      <c r="F4" s="559"/>
      <c r="G4" s="33" t="s">
        <v>380</v>
      </c>
      <c r="H4" s="33"/>
      <c r="I4" s="33" t="s">
        <v>381</v>
      </c>
      <c r="J4" s="33"/>
      <c r="K4" s="33"/>
    </row>
    <row r="5" spans="1:11" x14ac:dyDescent="0.2">
      <c r="A5" s="689" t="str">
        <f>IF(inputPrYr!B53&gt;" ",(inputPrYr!B53)," ")</f>
        <v>Computer Equip Reserve</v>
      </c>
      <c r="B5" s="690"/>
      <c r="C5" s="689" t="str">
        <f>IF(inputPrYr!B54&gt;" ",(inputPrYr!B54)," ")</f>
        <v>Special Equip Reserve</v>
      </c>
      <c r="D5" s="690"/>
      <c r="E5" s="689" t="str">
        <f>IF(inputPrYr!B55&gt;" ",(inputPrYr!B55)," ")</f>
        <v>Revolving Loan</v>
      </c>
      <c r="F5" s="690"/>
      <c r="G5" s="689" t="str">
        <f>IF(inputPrYr!B56&gt;" ",(inputPrYr!B56)," ")</f>
        <v>Fire Dept Grants &amp; Donations</v>
      </c>
      <c r="H5" s="690"/>
      <c r="I5" s="689" t="str">
        <f>IF(inputPrYr!B57&gt;" ",(inputPrYr!B57)," ")</f>
        <v>Police Dept Grants &amp; Donat</v>
      </c>
      <c r="J5" s="690"/>
      <c r="K5" s="61"/>
    </row>
    <row r="6" spans="1:11" x14ac:dyDescent="0.2">
      <c r="A6" s="125" t="s">
        <v>382</v>
      </c>
      <c r="B6" s="126"/>
      <c r="C6" s="127" t="s">
        <v>382</v>
      </c>
      <c r="D6" s="128"/>
      <c r="E6" s="127" t="s">
        <v>382</v>
      </c>
      <c r="F6" s="566"/>
      <c r="G6" s="127" t="s">
        <v>382</v>
      </c>
      <c r="H6" s="85"/>
      <c r="I6" s="127" t="s">
        <v>382</v>
      </c>
      <c r="J6" s="33"/>
      <c r="K6" s="568" t="s">
        <v>107</v>
      </c>
    </row>
    <row r="7" spans="1:11" x14ac:dyDescent="0.2">
      <c r="A7" s="129" t="s">
        <v>383</v>
      </c>
      <c r="B7" s="130">
        <v>19498</v>
      </c>
      <c r="C7" s="131" t="s">
        <v>383</v>
      </c>
      <c r="D7" s="130">
        <v>900056</v>
      </c>
      <c r="E7" s="131" t="s">
        <v>383</v>
      </c>
      <c r="F7" s="130">
        <v>325943</v>
      </c>
      <c r="G7" s="131" t="s">
        <v>383</v>
      </c>
      <c r="H7" s="130">
        <v>8720</v>
      </c>
      <c r="I7" s="131" t="s">
        <v>383</v>
      </c>
      <c r="J7" s="130">
        <v>18368</v>
      </c>
      <c r="K7" s="132">
        <f>SUM(B7+D7+F7+H7+J7)</f>
        <v>1272585</v>
      </c>
    </row>
    <row r="8" spans="1:11" x14ac:dyDescent="0.2">
      <c r="A8" s="133" t="s">
        <v>325</v>
      </c>
      <c r="B8" s="134"/>
      <c r="C8" s="133" t="s">
        <v>325</v>
      </c>
      <c r="D8" s="135"/>
      <c r="E8" s="133" t="s">
        <v>325</v>
      </c>
      <c r="F8" s="559"/>
      <c r="G8" s="133" t="s">
        <v>325</v>
      </c>
      <c r="H8" s="33"/>
      <c r="I8" s="133" t="s">
        <v>325</v>
      </c>
      <c r="J8" s="33"/>
      <c r="K8" s="559"/>
    </row>
    <row r="9" spans="1:11" x14ac:dyDescent="0.2">
      <c r="A9" s="136" t="s">
        <v>873</v>
      </c>
      <c r="B9" s="130">
        <v>5000</v>
      </c>
      <c r="C9" s="136" t="s">
        <v>873</v>
      </c>
      <c r="D9" s="130">
        <v>365000</v>
      </c>
      <c r="E9" s="136" t="s">
        <v>230</v>
      </c>
      <c r="F9" s="130">
        <v>2185</v>
      </c>
      <c r="G9" s="136" t="s">
        <v>814</v>
      </c>
      <c r="H9" s="130">
        <v>5844</v>
      </c>
      <c r="I9" s="136" t="s">
        <v>874</v>
      </c>
      <c r="J9" s="130">
        <v>16939</v>
      </c>
      <c r="K9" s="559"/>
    </row>
    <row r="10" spans="1:11" x14ac:dyDescent="0.2">
      <c r="A10" s="136" t="s">
        <v>875</v>
      </c>
      <c r="B10" s="130">
        <v>5000</v>
      </c>
      <c r="C10" s="136" t="s">
        <v>876</v>
      </c>
      <c r="D10" s="130">
        <v>42000</v>
      </c>
      <c r="E10" s="136"/>
      <c r="F10" s="130"/>
      <c r="G10" s="136" t="s">
        <v>877</v>
      </c>
      <c r="H10" s="130">
        <v>3694</v>
      </c>
      <c r="I10" s="136" t="s">
        <v>814</v>
      </c>
      <c r="J10" s="130">
        <v>2500</v>
      </c>
      <c r="K10" s="559"/>
    </row>
    <row r="11" spans="1:11" x14ac:dyDescent="0.2">
      <c r="A11" s="136"/>
      <c r="B11" s="130"/>
      <c r="C11" s="137" t="s">
        <v>875</v>
      </c>
      <c r="D11" s="130">
        <v>10000</v>
      </c>
      <c r="E11" s="137"/>
      <c r="F11" s="130"/>
      <c r="G11" s="137" t="s">
        <v>879</v>
      </c>
      <c r="H11" s="130">
        <v>3800</v>
      </c>
      <c r="I11" s="138"/>
      <c r="J11" s="130"/>
      <c r="K11" s="559"/>
    </row>
    <row r="12" spans="1:11" x14ac:dyDescent="0.2">
      <c r="A12" s="136"/>
      <c r="B12" s="130"/>
      <c r="C12" s="136" t="s">
        <v>813</v>
      </c>
      <c r="D12" s="130">
        <v>47000</v>
      </c>
      <c r="E12" s="139"/>
      <c r="F12" s="130"/>
      <c r="G12" s="139"/>
      <c r="H12" s="130"/>
      <c r="I12" s="139"/>
      <c r="J12" s="130"/>
      <c r="K12" s="559"/>
    </row>
    <row r="13" spans="1:11" x14ac:dyDescent="0.2">
      <c r="A13" s="140"/>
      <c r="B13" s="130"/>
      <c r="C13" s="141" t="s">
        <v>878</v>
      </c>
      <c r="D13" s="130">
        <v>814905</v>
      </c>
      <c r="E13" s="141"/>
      <c r="F13" s="130"/>
      <c r="G13" s="141"/>
      <c r="H13" s="130"/>
      <c r="I13" s="138"/>
      <c r="J13" s="130"/>
      <c r="K13" s="559"/>
    </row>
    <row r="14" spans="1:11" x14ac:dyDescent="0.2">
      <c r="A14" s="136"/>
      <c r="B14" s="130"/>
      <c r="C14" s="139"/>
      <c r="D14" s="130"/>
      <c r="E14" s="139"/>
      <c r="F14" s="130"/>
      <c r="G14" s="139"/>
      <c r="H14" s="130"/>
      <c r="I14" s="139"/>
      <c r="J14" s="130"/>
      <c r="K14" s="559"/>
    </row>
    <row r="15" spans="1:11" x14ac:dyDescent="0.2">
      <c r="A15" s="136"/>
      <c r="B15" s="130"/>
      <c r="C15" s="139"/>
      <c r="D15" s="130"/>
      <c r="E15" s="139"/>
      <c r="F15" s="130"/>
      <c r="G15" s="139"/>
      <c r="H15" s="130"/>
      <c r="I15" s="139"/>
      <c r="J15" s="130"/>
      <c r="K15" s="559"/>
    </row>
    <row r="16" spans="1:11" x14ac:dyDescent="0.2">
      <c r="A16" s="136"/>
      <c r="B16" s="130"/>
      <c r="C16" s="136"/>
      <c r="D16" s="130"/>
      <c r="E16" s="136"/>
      <c r="F16" s="130"/>
      <c r="G16" s="139"/>
      <c r="H16" s="130"/>
      <c r="I16" s="136"/>
      <c r="J16" s="130"/>
      <c r="K16" s="559"/>
    </row>
    <row r="17" spans="1:12" x14ac:dyDescent="0.2">
      <c r="A17" s="133" t="s">
        <v>340</v>
      </c>
      <c r="B17" s="132">
        <f>SUM(B9:B16)</f>
        <v>10000</v>
      </c>
      <c r="C17" s="133" t="s">
        <v>340</v>
      </c>
      <c r="D17" s="132">
        <f>SUM(D9:D16)</f>
        <v>1278905</v>
      </c>
      <c r="E17" s="133" t="s">
        <v>340</v>
      </c>
      <c r="F17" s="254">
        <f>SUM(F9:F16)</f>
        <v>2185</v>
      </c>
      <c r="G17" s="133" t="s">
        <v>340</v>
      </c>
      <c r="H17" s="132">
        <f>SUM(H9:H16)</f>
        <v>13338</v>
      </c>
      <c r="I17" s="133" t="s">
        <v>340</v>
      </c>
      <c r="J17" s="132">
        <f>SUM(J9:J16)</f>
        <v>19439</v>
      </c>
      <c r="K17" s="132">
        <f>SUM(B17+D17+F17+H17+J17)</f>
        <v>1323867</v>
      </c>
    </row>
    <row r="18" spans="1:12" x14ac:dyDescent="0.2">
      <c r="A18" s="133" t="s">
        <v>341</v>
      </c>
      <c r="B18" s="132">
        <f>SUM(B7+B17)</f>
        <v>29498</v>
      </c>
      <c r="C18" s="133" t="s">
        <v>341</v>
      </c>
      <c r="D18" s="132">
        <f>SUM(D7+D17)</f>
        <v>2178961</v>
      </c>
      <c r="E18" s="133" t="s">
        <v>341</v>
      </c>
      <c r="F18" s="132">
        <f>SUM(F7+F17)</f>
        <v>328128</v>
      </c>
      <c r="G18" s="133" t="s">
        <v>341</v>
      </c>
      <c r="H18" s="132">
        <f>SUM(H7+H17)</f>
        <v>22058</v>
      </c>
      <c r="I18" s="133" t="s">
        <v>341</v>
      </c>
      <c r="J18" s="132">
        <f>SUM(J7+J17)</f>
        <v>37807</v>
      </c>
      <c r="K18" s="132">
        <f>SUM(B18+D18+F18+H18+J18)</f>
        <v>2596452</v>
      </c>
    </row>
    <row r="19" spans="1:12" x14ac:dyDescent="0.2">
      <c r="A19" s="133" t="s">
        <v>343</v>
      </c>
      <c r="B19" s="134"/>
      <c r="C19" s="133" t="s">
        <v>343</v>
      </c>
      <c r="D19" s="135"/>
      <c r="E19" s="133" t="s">
        <v>343</v>
      </c>
      <c r="F19" s="559"/>
      <c r="G19" s="133" t="s">
        <v>343</v>
      </c>
      <c r="H19" s="33"/>
      <c r="I19" s="133" t="s">
        <v>343</v>
      </c>
      <c r="J19" s="33"/>
      <c r="K19" s="559"/>
    </row>
    <row r="20" spans="1:12" x14ac:dyDescent="0.2">
      <c r="A20" s="136" t="s">
        <v>861</v>
      </c>
      <c r="B20" s="130">
        <v>18752</v>
      </c>
      <c r="C20" s="139" t="s">
        <v>861</v>
      </c>
      <c r="D20" s="130">
        <v>1888337</v>
      </c>
      <c r="E20" s="139" t="s">
        <v>851</v>
      </c>
      <c r="F20" s="130">
        <v>328128</v>
      </c>
      <c r="G20" s="139" t="s">
        <v>851</v>
      </c>
      <c r="H20" s="130">
        <v>16214</v>
      </c>
      <c r="I20" s="139" t="s">
        <v>851</v>
      </c>
      <c r="J20" s="130">
        <v>6300</v>
      </c>
      <c r="K20" s="559"/>
    </row>
    <row r="21" spans="1:12" x14ac:dyDescent="0.2">
      <c r="A21" s="136"/>
      <c r="B21" s="130"/>
      <c r="C21" s="139"/>
      <c r="D21" s="130"/>
      <c r="E21" s="139"/>
      <c r="F21" s="130"/>
      <c r="G21" s="139" t="s">
        <v>855</v>
      </c>
      <c r="H21" s="130">
        <v>1687</v>
      </c>
      <c r="I21" s="139" t="s">
        <v>855</v>
      </c>
      <c r="J21" s="130">
        <v>1078</v>
      </c>
      <c r="K21" s="559"/>
    </row>
    <row r="22" spans="1:12" x14ac:dyDescent="0.2">
      <c r="A22" s="136"/>
      <c r="B22" s="130"/>
      <c r="C22" s="141"/>
      <c r="D22" s="130"/>
      <c r="E22" s="141"/>
      <c r="F22" s="130"/>
      <c r="G22" s="141"/>
      <c r="H22" s="130"/>
      <c r="I22" s="138"/>
      <c r="J22" s="130"/>
      <c r="K22" s="559"/>
    </row>
    <row r="23" spans="1:12" x14ac:dyDescent="0.2">
      <c r="A23" s="136"/>
      <c r="B23" s="130"/>
      <c r="C23" s="139"/>
      <c r="D23" s="130"/>
      <c r="E23" s="139"/>
      <c r="F23" s="130"/>
      <c r="G23" s="139"/>
      <c r="H23" s="130"/>
      <c r="I23" s="139"/>
      <c r="J23" s="130"/>
      <c r="K23" s="559"/>
    </row>
    <row r="24" spans="1:12" x14ac:dyDescent="0.2">
      <c r="A24" s="136"/>
      <c r="B24" s="130"/>
      <c r="C24" s="141"/>
      <c r="D24" s="130"/>
      <c r="E24" s="141"/>
      <c r="F24" s="130"/>
      <c r="G24" s="141"/>
      <c r="H24" s="130"/>
      <c r="I24" s="138"/>
      <c r="J24" s="130"/>
      <c r="K24" s="559"/>
    </row>
    <row r="25" spans="1:12" x14ac:dyDescent="0.2">
      <c r="A25" s="136"/>
      <c r="B25" s="130"/>
      <c r="C25" s="139"/>
      <c r="D25" s="130"/>
      <c r="E25" s="139"/>
      <c r="F25" s="130"/>
      <c r="G25" s="139"/>
      <c r="H25" s="130"/>
      <c r="I25" s="139"/>
      <c r="J25" s="130"/>
      <c r="K25" s="559"/>
    </row>
    <row r="26" spans="1:12" x14ac:dyDescent="0.2">
      <c r="A26" s="136"/>
      <c r="B26" s="130"/>
      <c r="C26" s="139"/>
      <c r="D26" s="130"/>
      <c r="E26" s="139"/>
      <c r="F26" s="130"/>
      <c r="G26" s="139"/>
      <c r="H26" s="130"/>
      <c r="I26" s="139"/>
      <c r="J26" s="130"/>
      <c r="K26" s="559"/>
    </row>
    <row r="27" spans="1:12" x14ac:dyDescent="0.2">
      <c r="A27" s="136"/>
      <c r="B27" s="130"/>
      <c r="C27" s="136"/>
      <c r="D27" s="130"/>
      <c r="E27" s="136"/>
      <c r="F27" s="130"/>
      <c r="G27" s="139"/>
      <c r="H27" s="130"/>
      <c r="I27" s="139"/>
      <c r="J27" s="130"/>
      <c r="K27" s="559"/>
    </row>
    <row r="28" spans="1:12" x14ac:dyDescent="0.2">
      <c r="A28" s="133" t="s">
        <v>351</v>
      </c>
      <c r="B28" s="132">
        <f>SUM(B20:B27)</f>
        <v>18752</v>
      </c>
      <c r="C28" s="133" t="s">
        <v>351</v>
      </c>
      <c r="D28" s="132">
        <f>SUM(D20:D27)</f>
        <v>1888337</v>
      </c>
      <c r="E28" s="133" t="s">
        <v>351</v>
      </c>
      <c r="F28" s="254">
        <f>SUM(F20:F27)</f>
        <v>328128</v>
      </c>
      <c r="G28" s="133" t="s">
        <v>351</v>
      </c>
      <c r="H28" s="254">
        <f>SUM(H20:H27)</f>
        <v>17901</v>
      </c>
      <c r="I28" s="133" t="s">
        <v>351</v>
      </c>
      <c r="J28" s="132">
        <f>SUM(J20:J27)</f>
        <v>7378</v>
      </c>
      <c r="K28" s="132">
        <f>SUM(B28+D28+F28+H28+J28)</f>
        <v>2260496</v>
      </c>
    </row>
    <row r="29" spans="1:12" x14ac:dyDescent="0.2">
      <c r="A29" s="133" t="s">
        <v>384</v>
      </c>
      <c r="B29" s="132">
        <f>SUM(B18-B28)</f>
        <v>10746</v>
      </c>
      <c r="C29" s="133" t="s">
        <v>384</v>
      </c>
      <c r="D29" s="132">
        <f>SUM(D18-D28)</f>
        <v>290624</v>
      </c>
      <c r="E29" s="133" t="s">
        <v>384</v>
      </c>
      <c r="F29" s="132">
        <f>SUM(F18-F28)</f>
        <v>0</v>
      </c>
      <c r="G29" s="133" t="s">
        <v>384</v>
      </c>
      <c r="H29" s="132">
        <f>SUM(H18-H28)</f>
        <v>4157</v>
      </c>
      <c r="I29" s="133" t="s">
        <v>384</v>
      </c>
      <c r="J29" s="132">
        <f>SUM(J18-J28)</f>
        <v>30429</v>
      </c>
      <c r="K29" s="142">
        <f>SUM(B29+D29+F29+H29+J29)</f>
        <v>335956</v>
      </c>
      <c r="L29" s="30" t="s">
        <v>385</v>
      </c>
    </row>
    <row r="30" spans="1:12" x14ac:dyDescent="0.2">
      <c r="A30" s="133"/>
      <c r="B30" s="144" t="str">
        <f>IF(B29&lt;0,"See Tab B","")</f>
        <v/>
      </c>
      <c r="C30" s="133"/>
      <c r="D30" s="144" t="str">
        <f>IF(D29&lt;0,"See Tab B","")</f>
        <v/>
      </c>
      <c r="E30" s="133"/>
      <c r="F30" s="144" t="str">
        <f>IF(F29&lt;0,"See Tab B","")</f>
        <v/>
      </c>
      <c r="G30" s="33"/>
      <c r="H30" s="144" t="str">
        <f>IF(H29&lt;0,"See Tab B","")</f>
        <v/>
      </c>
      <c r="I30" s="33"/>
      <c r="J30" s="144" t="str">
        <f>IF(J29&lt;0,"See Tab B","")</f>
        <v/>
      </c>
      <c r="K30" s="142">
        <f>SUM(K7+K17-K28)</f>
        <v>335956</v>
      </c>
      <c r="L30" s="30" t="s">
        <v>385</v>
      </c>
    </row>
    <row r="31" spans="1:12" x14ac:dyDescent="0.2">
      <c r="A31" s="33"/>
      <c r="B31" s="87"/>
      <c r="C31" s="33"/>
      <c r="D31" s="559"/>
      <c r="E31" s="33"/>
      <c r="F31" s="33"/>
      <c r="G31" s="687" t="s">
        <v>386</v>
      </c>
      <c r="H31" s="687"/>
      <c r="I31" s="687"/>
      <c r="J31" s="687"/>
      <c r="K31" s="687"/>
    </row>
    <row r="32" spans="1:12" x14ac:dyDescent="0.2">
      <c r="A32" s="33"/>
      <c r="B32" s="87"/>
      <c r="C32" s="33"/>
      <c r="D32" s="33"/>
      <c r="E32" s="33"/>
      <c r="F32" s="33"/>
      <c r="G32" s="33"/>
      <c r="H32" s="33"/>
      <c r="I32" s="33"/>
      <c r="J32" s="33"/>
      <c r="K32" s="33"/>
    </row>
    <row r="33" spans="1:11" x14ac:dyDescent="0.2">
      <c r="A33" s="172" t="s">
        <v>387</v>
      </c>
      <c r="B33" s="430"/>
      <c r="C33" s="98"/>
      <c r="D33" s="98"/>
      <c r="E33" s="98"/>
      <c r="F33" s="98"/>
      <c r="G33" s="98"/>
      <c r="H33" s="98"/>
      <c r="I33" s="98"/>
      <c r="J33" s="98"/>
      <c r="K33" s="479"/>
    </row>
    <row r="34" spans="1:11" x14ac:dyDescent="0.2">
      <c r="A34" s="500"/>
      <c r="B34" s="87"/>
      <c r="C34" s="33"/>
      <c r="D34" s="33"/>
      <c r="E34" s="33"/>
      <c r="F34" s="33"/>
      <c r="G34" s="33"/>
      <c r="H34" s="33"/>
      <c r="I34" s="33"/>
      <c r="J34" s="33"/>
      <c r="K34" s="501"/>
    </row>
    <row r="35" spans="1:11" x14ac:dyDescent="0.2">
      <c r="A35" s="480"/>
      <c r="B35" s="122"/>
      <c r="C35" s="61"/>
      <c r="D35" s="61"/>
      <c r="E35" s="61"/>
      <c r="F35" s="61"/>
      <c r="G35" s="61"/>
      <c r="H35" s="61"/>
      <c r="I35" s="61"/>
      <c r="J35" s="61"/>
      <c r="K35" s="81"/>
    </row>
    <row r="36" spans="1:11" x14ac:dyDescent="0.2">
      <c r="A36" s="33"/>
      <c r="B36" s="87"/>
      <c r="C36" s="33"/>
      <c r="D36" s="33"/>
      <c r="E36" s="33"/>
      <c r="F36" s="33"/>
      <c r="G36" s="33"/>
      <c r="H36" s="33"/>
      <c r="I36" s="33"/>
      <c r="J36" s="33"/>
      <c r="K36" s="33"/>
    </row>
    <row r="37" spans="1:11" x14ac:dyDescent="0.2">
      <c r="A37" s="33"/>
      <c r="B37" s="87"/>
      <c r="C37" s="33"/>
      <c r="D37" s="33"/>
      <c r="E37" s="564" t="s">
        <v>364</v>
      </c>
      <c r="F37" s="462">
        <v>14</v>
      </c>
      <c r="G37" s="33"/>
      <c r="H37" s="33"/>
      <c r="I37" s="33"/>
      <c r="J37" s="33"/>
      <c r="K37" s="33"/>
    </row>
    <row r="38" spans="1:11" x14ac:dyDescent="0.2">
      <c r="B38" s="143"/>
    </row>
    <row r="39" spans="1:11" x14ac:dyDescent="0.2">
      <c r="B39" s="143"/>
    </row>
    <row r="40" spans="1:11" x14ac:dyDescent="0.2">
      <c r="B40" s="143"/>
    </row>
    <row r="41" spans="1:11" x14ac:dyDescent="0.2">
      <c r="B41" s="143"/>
    </row>
    <row r="42" spans="1:11" x14ac:dyDescent="0.2">
      <c r="B42" s="143"/>
    </row>
    <row r="43" spans="1:11" x14ac:dyDescent="0.2">
      <c r="B43" s="143"/>
    </row>
    <row r="44" spans="1:11" x14ac:dyDescent="0.2">
      <c r="B44" s="143"/>
    </row>
    <row r="45" spans="1:11" x14ac:dyDescent="0.2">
      <c r="B45" s="143"/>
    </row>
  </sheetData>
  <sheetProtection sheet="1"/>
  <mergeCells count="7">
    <mergeCell ref="G31:K31"/>
    <mergeCell ref="A2:K2"/>
    <mergeCell ref="I5:J5"/>
    <mergeCell ref="A5:B5"/>
    <mergeCell ref="C5:D5"/>
    <mergeCell ref="E5:F5"/>
    <mergeCell ref="G5:H5"/>
  </mergeCells>
  <phoneticPr fontId="9" type="noConversion"/>
  <pageMargins left="0.75" right="0.75" top="1" bottom="1" header="0.5" footer="0.5"/>
  <pageSetup scale="82" orientation="landscape" blackAndWhite="1" r:id="rId1"/>
  <headerFooter alignWithMargins="0">
    <oddHeader>&amp;RState of Kansas
City</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tabColor rgb="FF00B0F0"/>
    <pageSetUpPr fitToPage="1"/>
  </sheetPr>
  <dimension ref="A1:L45"/>
  <sheetViews>
    <sheetView topLeftCell="A5" zoomScaleNormal="100" workbookViewId="0">
      <selection activeCell="F38" sqref="F38"/>
    </sheetView>
  </sheetViews>
  <sheetFormatPr defaultColWidth="8.88671875" defaultRowHeight="15.75" x14ac:dyDescent="0.2"/>
  <cols>
    <col min="1" max="1" width="11.5546875" style="30" customWidth="1"/>
    <col min="2" max="2" width="7.44140625" style="30" customWidth="1"/>
    <col min="3" max="3" width="11.5546875" style="30" customWidth="1"/>
    <col min="4" max="4" width="7.44140625" style="30" customWidth="1"/>
    <col min="5" max="5" width="11.5546875" style="30" customWidth="1"/>
    <col min="6" max="6" width="7.44140625" style="30" customWidth="1"/>
    <col min="7" max="7" width="11.5546875" style="30" customWidth="1"/>
    <col min="8" max="8" width="7.44140625" style="30" customWidth="1"/>
    <col min="9" max="9" width="11.5546875" style="30" customWidth="1"/>
    <col min="10" max="16384" width="8.88671875" style="30"/>
  </cols>
  <sheetData>
    <row r="1" spans="1:11" x14ac:dyDescent="0.2">
      <c r="A1" s="51" t="str">
        <f>inputPrYr!$D$3</f>
        <v>City of Concordia</v>
      </c>
      <c r="B1" s="559"/>
      <c r="C1" s="33"/>
      <c r="D1" s="33"/>
      <c r="E1" s="33"/>
      <c r="F1" s="561" t="s">
        <v>388</v>
      </c>
      <c r="G1" s="33"/>
      <c r="H1" s="33"/>
      <c r="I1" s="33"/>
      <c r="J1" s="33"/>
      <c r="K1" s="33">
        <f>inputPrYr!$C$6</f>
        <v>2026</v>
      </c>
    </row>
    <row r="2" spans="1:11" x14ac:dyDescent="0.2">
      <c r="A2" s="688" t="str">
        <f>CONCATENATE("(Only the actual budget year for ",K1-2," is reported)")</f>
        <v>(Only the actual budget year for 2024 is reported)</v>
      </c>
      <c r="B2" s="688"/>
      <c r="C2" s="688"/>
      <c r="D2" s="688"/>
      <c r="E2" s="688"/>
      <c r="F2" s="688"/>
      <c r="G2" s="688"/>
      <c r="H2" s="688"/>
      <c r="I2" s="688"/>
      <c r="J2" s="688"/>
      <c r="K2" s="688"/>
    </row>
    <row r="3" spans="1:11" x14ac:dyDescent="0.2">
      <c r="A3" s="33" t="s">
        <v>389</v>
      </c>
      <c r="B3" s="33"/>
      <c r="C3" s="33"/>
      <c r="D3" s="33"/>
      <c r="E3" s="33"/>
      <c r="F3" s="559"/>
      <c r="G3" s="33"/>
      <c r="H3" s="33"/>
      <c r="I3" s="33"/>
      <c r="J3" s="33"/>
      <c r="K3" s="33"/>
    </row>
    <row r="4" spans="1:11" x14ac:dyDescent="0.2">
      <c r="A4" s="33" t="s">
        <v>377</v>
      </c>
      <c r="B4" s="33"/>
      <c r="C4" s="33" t="s">
        <v>378</v>
      </c>
      <c r="D4" s="33"/>
      <c r="E4" s="33" t="s">
        <v>379</v>
      </c>
      <c r="F4" s="559"/>
      <c r="G4" s="33" t="s">
        <v>380</v>
      </c>
      <c r="H4" s="33"/>
      <c r="I4" s="33" t="s">
        <v>381</v>
      </c>
      <c r="J4" s="33"/>
      <c r="K4" s="33"/>
    </row>
    <row r="5" spans="1:11" x14ac:dyDescent="0.2">
      <c r="A5" s="689" t="str">
        <f>IF(inputPrYr!B59&gt;" ",(inputPrYr!B59)," ")</f>
        <v>Cemetery Endowment</v>
      </c>
      <c r="B5" s="690"/>
      <c r="C5" s="689" t="str">
        <f>IF(inputPrYr!B60&gt;" ",(inputPrYr!B60)," ")</f>
        <v>Recreation Grant &amp; Donations</v>
      </c>
      <c r="D5" s="690"/>
      <c r="E5" s="689" t="str">
        <f>IF(inputPrYr!B61&gt;" ",(inputPrYr!B61)," ")</f>
        <v>TIF Project</v>
      </c>
      <c r="F5" s="690"/>
      <c r="G5" s="689" t="str">
        <f>IF(inputPrYr!B62&gt;" ",(inputPrYr!B62)," ")</f>
        <v>CIP</v>
      </c>
      <c r="H5" s="690"/>
      <c r="I5" s="689" t="str">
        <f>IF(inputPrYr!B63&gt;" ",(inputPrYr!B63)," ")</f>
        <v>Small Animal Trust</v>
      </c>
      <c r="J5" s="690"/>
      <c r="K5" s="61"/>
    </row>
    <row r="6" spans="1:11" x14ac:dyDescent="0.2">
      <c r="A6" s="125" t="s">
        <v>382</v>
      </c>
      <c r="B6" s="126"/>
      <c r="C6" s="127" t="s">
        <v>382</v>
      </c>
      <c r="D6" s="128"/>
      <c r="E6" s="127" t="s">
        <v>382</v>
      </c>
      <c r="F6" s="566"/>
      <c r="G6" s="127" t="s">
        <v>382</v>
      </c>
      <c r="H6" s="85"/>
      <c r="I6" s="127" t="s">
        <v>382</v>
      </c>
      <c r="J6" s="33"/>
      <c r="K6" s="568" t="s">
        <v>107</v>
      </c>
    </row>
    <row r="7" spans="1:11" x14ac:dyDescent="0.2">
      <c r="A7" s="129" t="s">
        <v>383</v>
      </c>
      <c r="B7" s="130">
        <v>41693</v>
      </c>
      <c r="C7" s="131" t="s">
        <v>383</v>
      </c>
      <c r="D7" s="130">
        <v>15448</v>
      </c>
      <c r="E7" s="131" t="s">
        <v>383</v>
      </c>
      <c r="F7" s="130">
        <v>4982</v>
      </c>
      <c r="G7" s="131" t="s">
        <v>383</v>
      </c>
      <c r="H7" s="130">
        <v>-179009</v>
      </c>
      <c r="I7" s="131" t="s">
        <v>383</v>
      </c>
      <c r="J7" s="130">
        <v>30358</v>
      </c>
      <c r="K7" s="132">
        <f>SUM(B7+D7+F7+H7+J7)</f>
        <v>-86528</v>
      </c>
    </row>
    <row r="8" spans="1:11" x14ac:dyDescent="0.2">
      <c r="A8" s="133" t="s">
        <v>325</v>
      </c>
      <c r="B8" s="134"/>
      <c r="C8" s="133" t="s">
        <v>325</v>
      </c>
      <c r="D8" s="135"/>
      <c r="E8" s="133" t="s">
        <v>325</v>
      </c>
      <c r="F8" s="559"/>
      <c r="G8" s="133" t="s">
        <v>325</v>
      </c>
      <c r="H8" s="33"/>
      <c r="I8" s="133" t="s">
        <v>325</v>
      </c>
      <c r="J8" s="33"/>
      <c r="K8" s="559"/>
    </row>
    <row r="9" spans="1:11" x14ac:dyDescent="0.2">
      <c r="A9" s="136" t="s">
        <v>230</v>
      </c>
      <c r="B9" s="130">
        <v>471</v>
      </c>
      <c r="C9" s="136" t="s">
        <v>814</v>
      </c>
      <c r="D9" s="130">
        <v>4375</v>
      </c>
      <c r="E9" s="136" t="s">
        <v>327</v>
      </c>
      <c r="F9" s="130">
        <v>123</v>
      </c>
      <c r="G9" s="136" t="s">
        <v>880</v>
      </c>
      <c r="H9" s="130">
        <v>589509</v>
      </c>
      <c r="I9" s="136" t="s">
        <v>230</v>
      </c>
      <c r="J9" s="130">
        <v>1159</v>
      </c>
      <c r="K9" s="559"/>
    </row>
    <row r="10" spans="1:11" x14ac:dyDescent="0.2">
      <c r="A10" s="136"/>
      <c r="B10" s="130"/>
      <c r="C10" s="136"/>
      <c r="D10" s="130"/>
      <c r="E10" s="136" t="s">
        <v>879</v>
      </c>
      <c r="F10" s="130">
        <v>812</v>
      </c>
      <c r="G10" s="136" t="s">
        <v>882</v>
      </c>
      <c r="H10" s="130">
        <v>58993</v>
      </c>
      <c r="I10" s="136" t="s">
        <v>881</v>
      </c>
      <c r="J10" s="130">
        <v>3000</v>
      </c>
      <c r="K10" s="559"/>
    </row>
    <row r="11" spans="1:11" x14ac:dyDescent="0.2">
      <c r="A11" s="136"/>
      <c r="B11" s="130"/>
      <c r="C11" s="137"/>
      <c r="D11" s="130"/>
      <c r="E11" s="137"/>
      <c r="F11" s="130"/>
      <c r="G11" s="137" t="s">
        <v>883</v>
      </c>
      <c r="H11" s="130">
        <v>63642</v>
      </c>
      <c r="I11" s="138"/>
      <c r="J11" s="130"/>
      <c r="K11" s="559"/>
    </row>
    <row r="12" spans="1:11" x14ac:dyDescent="0.2">
      <c r="A12" s="136"/>
      <c r="B12" s="130"/>
      <c r="C12" s="136"/>
      <c r="D12" s="130"/>
      <c r="E12" s="139"/>
      <c r="F12" s="130"/>
      <c r="G12" s="139" t="s">
        <v>887</v>
      </c>
      <c r="H12" s="130">
        <v>647163</v>
      </c>
      <c r="I12" s="139"/>
      <c r="J12" s="130"/>
      <c r="K12" s="559"/>
    </row>
    <row r="13" spans="1:11" x14ac:dyDescent="0.2">
      <c r="A13" s="140"/>
      <c r="B13" s="130"/>
      <c r="C13" s="141"/>
      <c r="D13" s="130"/>
      <c r="E13" s="141"/>
      <c r="F13" s="130"/>
      <c r="G13" s="141" t="s">
        <v>814</v>
      </c>
      <c r="H13" s="130">
        <v>6000</v>
      </c>
      <c r="I13" s="138"/>
      <c r="J13" s="130"/>
      <c r="K13" s="559"/>
    </row>
    <row r="14" spans="1:11" x14ac:dyDescent="0.2">
      <c r="A14" s="136"/>
      <c r="B14" s="130"/>
      <c r="C14" s="139"/>
      <c r="D14" s="130"/>
      <c r="E14" s="139"/>
      <c r="F14" s="130"/>
      <c r="G14" s="139" t="s">
        <v>884</v>
      </c>
      <c r="H14" s="130">
        <v>15000</v>
      </c>
      <c r="I14" s="139"/>
      <c r="J14" s="130"/>
      <c r="K14" s="559"/>
    </row>
    <row r="15" spans="1:11" x14ac:dyDescent="0.2">
      <c r="A15" s="136"/>
      <c r="B15" s="130"/>
      <c r="C15" s="139"/>
      <c r="D15" s="130"/>
      <c r="E15" s="139"/>
      <c r="F15" s="130"/>
      <c r="G15" s="139" t="s">
        <v>885</v>
      </c>
      <c r="H15" s="130">
        <v>20000</v>
      </c>
      <c r="I15" s="139"/>
      <c r="J15" s="130"/>
      <c r="K15" s="559"/>
    </row>
    <row r="16" spans="1:11" x14ac:dyDescent="0.2">
      <c r="A16" s="136"/>
      <c r="B16" s="130"/>
      <c r="C16" s="136"/>
      <c r="D16" s="130"/>
      <c r="E16" s="136"/>
      <c r="F16" s="130"/>
      <c r="G16" s="139" t="s">
        <v>873</v>
      </c>
      <c r="H16" s="130">
        <v>450000</v>
      </c>
      <c r="I16" s="136"/>
      <c r="J16" s="130"/>
      <c r="K16" s="559"/>
    </row>
    <row r="17" spans="1:12" x14ac:dyDescent="0.2">
      <c r="A17" s="133" t="s">
        <v>340</v>
      </c>
      <c r="B17" s="132">
        <f>SUM(B9:B16)</f>
        <v>471</v>
      </c>
      <c r="C17" s="133" t="s">
        <v>340</v>
      </c>
      <c r="D17" s="132">
        <f>SUM(D9:D16)</f>
        <v>4375</v>
      </c>
      <c r="E17" s="133" t="s">
        <v>340</v>
      </c>
      <c r="F17" s="254">
        <f>SUM(F9:F16)</f>
        <v>935</v>
      </c>
      <c r="G17" s="133" t="s">
        <v>340</v>
      </c>
      <c r="H17" s="132">
        <f>SUM(H9:H16)</f>
        <v>1850307</v>
      </c>
      <c r="I17" s="133" t="s">
        <v>340</v>
      </c>
      <c r="J17" s="132">
        <f>SUM(J9:J16)</f>
        <v>4159</v>
      </c>
      <c r="K17" s="132">
        <f>SUM(B17+D17+F17+H17+J17)</f>
        <v>1860247</v>
      </c>
    </row>
    <row r="18" spans="1:12" x14ac:dyDescent="0.2">
      <c r="A18" s="133" t="s">
        <v>341</v>
      </c>
      <c r="B18" s="132">
        <f>SUM(B7+B17)</f>
        <v>42164</v>
      </c>
      <c r="C18" s="133" t="s">
        <v>341</v>
      </c>
      <c r="D18" s="132">
        <f>SUM(D7+D17)</f>
        <v>19823</v>
      </c>
      <c r="E18" s="133" t="s">
        <v>341</v>
      </c>
      <c r="F18" s="132">
        <f>SUM(F7+F17)</f>
        <v>5917</v>
      </c>
      <c r="G18" s="133" t="s">
        <v>341</v>
      </c>
      <c r="H18" s="132">
        <f>SUM(H7+H17)</f>
        <v>1671298</v>
      </c>
      <c r="I18" s="133" t="s">
        <v>341</v>
      </c>
      <c r="J18" s="132">
        <f>SUM(J7+J17)</f>
        <v>34517</v>
      </c>
      <c r="K18" s="132">
        <f>SUM(B18+D18+F18+H18+J18)</f>
        <v>1773719</v>
      </c>
    </row>
    <row r="19" spans="1:12" x14ac:dyDescent="0.2">
      <c r="A19" s="133" t="s">
        <v>343</v>
      </c>
      <c r="B19" s="134"/>
      <c r="C19" s="133" t="s">
        <v>343</v>
      </c>
      <c r="D19" s="135"/>
      <c r="E19" s="133" t="s">
        <v>343</v>
      </c>
      <c r="F19" s="559"/>
      <c r="G19" s="133" t="s">
        <v>343</v>
      </c>
      <c r="H19" s="33"/>
      <c r="I19" s="133" t="s">
        <v>343</v>
      </c>
      <c r="J19" s="33"/>
      <c r="K19" s="559"/>
    </row>
    <row r="20" spans="1:12" x14ac:dyDescent="0.2">
      <c r="A20" s="136"/>
      <c r="B20" s="130"/>
      <c r="C20" s="139"/>
      <c r="D20" s="130"/>
      <c r="E20" s="139"/>
      <c r="F20" s="130"/>
      <c r="G20" s="139" t="s">
        <v>851</v>
      </c>
      <c r="H20" s="130">
        <v>1722145</v>
      </c>
      <c r="I20" s="139" t="s">
        <v>886</v>
      </c>
      <c r="J20" s="130">
        <v>3500</v>
      </c>
      <c r="K20" s="559"/>
    </row>
    <row r="21" spans="1:12" x14ac:dyDescent="0.2">
      <c r="A21" s="136"/>
      <c r="B21" s="130"/>
      <c r="C21" s="139"/>
      <c r="D21" s="130"/>
      <c r="E21" s="139"/>
      <c r="F21" s="130"/>
      <c r="G21" s="139" t="s">
        <v>855</v>
      </c>
      <c r="H21" s="130">
        <v>1550</v>
      </c>
      <c r="I21" s="139"/>
      <c r="J21" s="130"/>
      <c r="K21" s="559"/>
    </row>
    <row r="22" spans="1:12" x14ac:dyDescent="0.2">
      <c r="A22" s="136"/>
      <c r="B22" s="130"/>
      <c r="C22" s="141"/>
      <c r="D22" s="130"/>
      <c r="E22" s="141"/>
      <c r="F22" s="130"/>
      <c r="G22" s="141" t="s">
        <v>861</v>
      </c>
      <c r="H22" s="130">
        <v>51613</v>
      </c>
      <c r="I22" s="138"/>
      <c r="J22" s="130"/>
      <c r="K22" s="559"/>
    </row>
    <row r="23" spans="1:12" x14ac:dyDescent="0.2">
      <c r="A23" s="136"/>
      <c r="B23" s="130"/>
      <c r="C23" s="139"/>
      <c r="D23" s="130"/>
      <c r="E23" s="139"/>
      <c r="F23" s="130"/>
      <c r="G23" s="139"/>
      <c r="H23" s="130"/>
      <c r="I23" s="139"/>
      <c r="J23" s="130"/>
      <c r="K23" s="559"/>
    </row>
    <row r="24" spans="1:12" x14ac:dyDescent="0.2">
      <c r="A24" s="136"/>
      <c r="B24" s="130"/>
      <c r="C24" s="141"/>
      <c r="D24" s="130"/>
      <c r="E24" s="141"/>
      <c r="F24" s="130"/>
      <c r="G24" s="141"/>
      <c r="H24" s="130"/>
      <c r="I24" s="138"/>
      <c r="J24" s="130"/>
      <c r="K24" s="559"/>
    </row>
    <row r="25" spans="1:12" x14ac:dyDescent="0.2">
      <c r="A25" s="136"/>
      <c r="B25" s="130"/>
      <c r="C25" s="139"/>
      <c r="D25" s="130"/>
      <c r="E25" s="139"/>
      <c r="F25" s="130"/>
      <c r="G25" s="139"/>
      <c r="H25" s="130"/>
      <c r="I25" s="139"/>
      <c r="J25" s="130"/>
      <c r="K25" s="559"/>
    </row>
    <row r="26" spans="1:12" x14ac:dyDescent="0.2">
      <c r="A26" s="136"/>
      <c r="B26" s="130"/>
      <c r="C26" s="139"/>
      <c r="D26" s="130"/>
      <c r="E26" s="139"/>
      <c r="F26" s="130"/>
      <c r="G26" s="139"/>
      <c r="H26" s="130"/>
      <c r="I26" s="139"/>
      <c r="J26" s="130"/>
      <c r="K26" s="559"/>
    </row>
    <row r="27" spans="1:12" x14ac:dyDescent="0.2">
      <c r="A27" s="136"/>
      <c r="B27" s="130"/>
      <c r="C27" s="136"/>
      <c r="D27" s="130"/>
      <c r="E27" s="136"/>
      <c r="F27" s="130"/>
      <c r="G27" s="139"/>
      <c r="H27" s="130"/>
      <c r="I27" s="139"/>
      <c r="J27" s="130"/>
      <c r="K27" s="559"/>
    </row>
    <row r="28" spans="1:12" x14ac:dyDescent="0.2">
      <c r="A28" s="133" t="s">
        <v>351</v>
      </c>
      <c r="B28" s="132">
        <f>SUM(B20:B27)</f>
        <v>0</v>
      </c>
      <c r="C28" s="133" t="s">
        <v>351</v>
      </c>
      <c r="D28" s="132">
        <f>SUM(D20:D27)</f>
        <v>0</v>
      </c>
      <c r="E28" s="133" t="s">
        <v>351</v>
      </c>
      <c r="F28" s="254">
        <f>SUM(F20:F27)</f>
        <v>0</v>
      </c>
      <c r="G28" s="133" t="s">
        <v>351</v>
      </c>
      <c r="H28" s="254">
        <f>SUM(H20:H27)</f>
        <v>1775308</v>
      </c>
      <c r="I28" s="133" t="s">
        <v>351</v>
      </c>
      <c r="J28" s="132">
        <f>SUM(J20:J27)</f>
        <v>3500</v>
      </c>
      <c r="K28" s="132">
        <f>SUM(B28+D28+F28+H28+J28)</f>
        <v>1778808</v>
      </c>
    </row>
    <row r="29" spans="1:12" x14ac:dyDescent="0.2">
      <c r="A29" s="133" t="s">
        <v>384</v>
      </c>
      <c r="B29" s="132">
        <f>SUM(B18-B28)</f>
        <v>42164</v>
      </c>
      <c r="C29" s="133" t="s">
        <v>384</v>
      </c>
      <c r="D29" s="132">
        <f>SUM(D18-D28)</f>
        <v>19823</v>
      </c>
      <c r="E29" s="133" t="s">
        <v>384</v>
      </c>
      <c r="F29" s="132">
        <f>SUM(F18-F28)</f>
        <v>5917</v>
      </c>
      <c r="G29" s="133" t="s">
        <v>384</v>
      </c>
      <c r="H29" s="132">
        <f>SUM(H18-H28)</f>
        <v>-104010</v>
      </c>
      <c r="I29" s="133" t="s">
        <v>384</v>
      </c>
      <c r="J29" s="132">
        <f>SUM(J18-J28)</f>
        <v>31017</v>
      </c>
      <c r="K29" s="142">
        <f>SUM(B29+D29+F29+H29+J29)</f>
        <v>-5089</v>
      </c>
      <c r="L29" s="30" t="s">
        <v>385</v>
      </c>
    </row>
    <row r="30" spans="1:12" x14ac:dyDescent="0.2">
      <c r="A30" s="133"/>
      <c r="B30" s="144" t="str">
        <f>IF(B29&lt;0,"See Tab B","")</f>
        <v/>
      </c>
      <c r="C30" s="133"/>
      <c r="D30" s="144" t="str">
        <f>IF(D29&lt;0,"See Tab B","")</f>
        <v/>
      </c>
      <c r="E30" s="133"/>
      <c r="F30" s="144" t="str">
        <f>IF(F29&lt;0,"See Tab B","")</f>
        <v/>
      </c>
      <c r="G30" s="33"/>
      <c r="H30" s="144" t="str">
        <f>IF(H29&lt;0,"See Tab B","")</f>
        <v>See Tab B</v>
      </c>
      <c r="I30" s="33"/>
      <c r="J30" s="144" t="str">
        <f>IF(J29&lt;0,"See Tab B","")</f>
        <v/>
      </c>
      <c r="K30" s="142">
        <f>SUM(K7+K17-K28)</f>
        <v>-5089</v>
      </c>
      <c r="L30" s="30" t="s">
        <v>385</v>
      </c>
    </row>
    <row r="31" spans="1:12" x14ac:dyDescent="0.2">
      <c r="A31" s="33"/>
      <c r="B31" s="87"/>
      <c r="C31" s="33"/>
      <c r="D31" s="559"/>
      <c r="E31" s="33"/>
      <c r="F31" s="33"/>
      <c r="G31" s="687" t="s">
        <v>386</v>
      </c>
      <c r="H31" s="687"/>
      <c r="I31" s="687"/>
      <c r="J31" s="687"/>
      <c r="K31" s="687"/>
    </row>
    <row r="32" spans="1:12" x14ac:dyDescent="0.2">
      <c r="A32" s="33"/>
      <c r="B32" s="87"/>
      <c r="C32" s="33"/>
      <c r="D32" s="33"/>
      <c r="E32" s="33"/>
      <c r="F32" s="33"/>
      <c r="G32" s="33"/>
      <c r="H32" s="33"/>
      <c r="I32" s="33"/>
      <c r="J32" s="33"/>
      <c r="K32" s="33"/>
    </row>
    <row r="33" spans="1:11" x14ac:dyDescent="0.2">
      <c r="A33" s="172" t="s">
        <v>387</v>
      </c>
      <c r="B33" s="430"/>
      <c r="C33" s="98"/>
      <c r="D33" s="98"/>
      <c r="E33" s="98"/>
      <c r="F33" s="98"/>
      <c r="G33" s="98"/>
      <c r="H33" s="98"/>
      <c r="I33" s="98"/>
      <c r="J33" s="98"/>
      <c r="K33" s="479"/>
    </row>
    <row r="34" spans="1:11" x14ac:dyDescent="0.2">
      <c r="A34" s="500"/>
      <c r="B34" s="87"/>
      <c r="C34" s="33"/>
      <c r="D34" s="33"/>
      <c r="E34" s="33"/>
      <c r="F34" s="33"/>
      <c r="G34" s="33"/>
      <c r="H34" s="33"/>
      <c r="I34" s="33"/>
      <c r="J34" s="33"/>
      <c r="K34" s="501"/>
    </row>
    <row r="35" spans="1:11" x14ac:dyDescent="0.2">
      <c r="A35" s="480"/>
      <c r="B35" s="122"/>
      <c r="C35" s="61"/>
      <c r="D35" s="61"/>
      <c r="E35" s="61"/>
      <c r="F35" s="61"/>
      <c r="G35" s="61"/>
      <c r="H35" s="61"/>
      <c r="I35" s="61"/>
      <c r="J35" s="61"/>
      <c r="K35" s="81"/>
    </row>
    <row r="36" spans="1:11" x14ac:dyDescent="0.2">
      <c r="A36" s="33"/>
      <c r="B36" s="87"/>
      <c r="C36" s="33"/>
      <c r="D36" s="33"/>
      <c r="E36" s="33"/>
      <c r="F36" s="33"/>
      <c r="G36" s="33"/>
      <c r="H36" s="33"/>
      <c r="I36" s="33"/>
      <c r="J36" s="33"/>
      <c r="K36" s="33"/>
    </row>
    <row r="37" spans="1:11" x14ac:dyDescent="0.2">
      <c r="A37" s="33"/>
      <c r="B37" s="87"/>
      <c r="C37" s="33"/>
      <c r="D37" s="33"/>
      <c r="E37" s="564" t="s">
        <v>364</v>
      </c>
      <c r="F37" s="462">
        <v>15</v>
      </c>
      <c r="G37" s="33"/>
      <c r="H37" s="33"/>
      <c r="I37" s="33"/>
      <c r="J37" s="33"/>
      <c r="K37" s="33"/>
    </row>
    <row r="38" spans="1:11" x14ac:dyDescent="0.2">
      <c r="B38" s="143"/>
    </row>
    <row r="39" spans="1:11" x14ac:dyDescent="0.2">
      <c r="B39" s="143"/>
    </row>
    <row r="40" spans="1:11" x14ac:dyDescent="0.2">
      <c r="B40" s="143"/>
    </row>
    <row r="41" spans="1:11" x14ac:dyDescent="0.2">
      <c r="B41" s="143"/>
    </row>
    <row r="42" spans="1:11" x14ac:dyDescent="0.2">
      <c r="B42" s="143"/>
    </row>
    <row r="43" spans="1:11" x14ac:dyDescent="0.2">
      <c r="B43" s="143"/>
    </row>
    <row r="44" spans="1:11" x14ac:dyDescent="0.2">
      <c r="B44" s="143"/>
    </row>
    <row r="45" spans="1:11" x14ac:dyDescent="0.2">
      <c r="B45" s="143"/>
    </row>
  </sheetData>
  <sheetProtection sheet="1"/>
  <mergeCells count="7">
    <mergeCell ref="G31:K31"/>
    <mergeCell ref="A2:K2"/>
    <mergeCell ref="I5:J5"/>
    <mergeCell ref="A5:B5"/>
    <mergeCell ref="C5:D5"/>
    <mergeCell ref="E5:F5"/>
    <mergeCell ref="G5:H5"/>
  </mergeCells>
  <phoneticPr fontId="9" type="noConversion"/>
  <pageMargins left="0.75" right="0.75" top="1" bottom="1" header="0.5" footer="0.5"/>
  <pageSetup scale="82" orientation="landscape" blackAndWhite="1" r:id="rId1"/>
  <headerFooter alignWithMargins="0">
    <oddHeader>&amp;RState of Kansas
City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1">
    <tabColor rgb="FF00B0F0"/>
    <pageSetUpPr fitToPage="1"/>
  </sheetPr>
  <dimension ref="A1:L45"/>
  <sheetViews>
    <sheetView topLeftCell="A13" workbookViewId="0">
      <selection activeCell="F38" sqref="F38"/>
    </sheetView>
  </sheetViews>
  <sheetFormatPr defaultColWidth="8.88671875" defaultRowHeight="15.75" x14ac:dyDescent="0.2"/>
  <cols>
    <col min="1" max="1" width="11.5546875" style="30" customWidth="1"/>
    <col min="2" max="2" width="7.44140625" style="30" customWidth="1"/>
    <col min="3" max="3" width="11.5546875" style="30" customWidth="1"/>
    <col min="4" max="4" width="7.44140625" style="30" customWidth="1"/>
    <col min="5" max="5" width="11.5546875" style="30" customWidth="1"/>
    <col min="6" max="6" width="7.44140625" style="30" customWidth="1"/>
    <col min="7" max="7" width="11.5546875" style="30" customWidth="1"/>
    <col min="8" max="8" width="7.44140625" style="30" customWidth="1"/>
    <col min="9" max="9" width="11.5546875" style="30" customWidth="1"/>
    <col min="10" max="16384" width="8.88671875" style="30"/>
  </cols>
  <sheetData>
    <row r="1" spans="1:11" x14ac:dyDescent="0.2">
      <c r="A1" s="51" t="str">
        <f>inputPrYr!$D$3</f>
        <v>City of Concordia</v>
      </c>
      <c r="B1" s="559"/>
      <c r="C1" s="33"/>
      <c r="D1" s="33"/>
      <c r="E1" s="33"/>
      <c r="F1" s="561" t="s">
        <v>390</v>
      </c>
      <c r="G1" s="33"/>
      <c r="H1" s="33"/>
      <c r="I1" s="33"/>
      <c r="J1" s="33"/>
      <c r="K1" s="33">
        <f>inputPrYr!$C$6</f>
        <v>2026</v>
      </c>
    </row>
    <row r="2" spans="1:11" x14ac:dyDescent="0.2">
      <c r="A2" s="688" t="str">
        <f>CONCATENATE("(Only the actual budget year for ",K1-2," is reported)")</f>
        <v>(Only the actual budget year for 2024 is reported)</v>
      </c>
      <c r="B2" s="688"/>
      <c r="C2" s="688"/>
      <c r="D2" s="688"/>
      <c r="E2" s="688"/>
      <c r="F2" s="688"/>
      <c r="G2" s="688"/>
      <c r="H2" s="688"/>
      <c r="I2" s="688"/>
      <c r="J2" s="688"/>
      <c r="K2" s="688"/>
    </row>
    <row r="3" spans="1:11" x14ac:dyDescent="0.2">
      <c r="A3" s="33" t="s">
        <v>391</v>
      </c>
      <c r="B3" s="33"/>
      <c r="C3" s="33"/>
      <c r="D3" s="33"/>
      <c r="E3" s="33"/>
      <c r="F3" s="559"/>
      <c r="G3" s="33"/>
      <c r="H3" s="33"/>
      <c r="I3" s="33"/>
      <c r="J3" s="33"/>
      <c r="K3" s="33"/>
    </row>
    <row r="4" spans="1:11" x14ac:dyDescent="0.2">
      <c r="A4" s="33" t="s">
        <v>377</v>
      </c>
      <c r="B4" s="33"/>
      <c r="C4" s="33" t="s">
        <v>378</v>
      </c>
      <c r="D4" s="33"/>
      <c r="E4" s="33" t="s">
        <v>379</v>
      </c>
      <c r="F4" s="559"/>
      <c r="G4" s="33" t="s">
        <v>380</v>
      </c>
      <c r="H4" s="33"/>
      <c r="I4" s="33" t="s">
        <v>381</v>
      </c>
      <c r="J4" s="33"/>
      <c r="K4" s="33"/>
    </row>
    <row r="5" spans="1:11" x14ac:dyDescent="0.2">
      <c r="A5" s="691" t="str">
        <f>IF(inputPrYr!B65&gt;" ",(inputPrYr!B65)," ")</f>
        <v>Cafeteria Plan</v>
      </c>
      <c r="B5" s="692"/>
      <c r="C5" s="691" t="str">
        <f>IF(inputPrYr!B66&gt;" ",(inputPrYr!B66)," ")</f>
        <v>Agency Funds</v>
      </c>
      <c r="D5" s="692"/>
      <c r="E5" s="691" t="str">
        <f>IF(inputPrYr!B67&gt;" ",(inputPrYr!B67)," ")</f>
        <v>Waste Water Trtmt</v>
      </c>
      <c r="F5" s="692"/>
      <c r="G5" s="691" t="str">
        <f>IF(inputPrYr!B68&gt;" ",(inputPrYr!B68)," ")</f>
        <v>ARPA</v>
      </c>
      <c r="H5" s="692"/>
      <c r="I5" s="691" t="str">
        <f>IF(inputPrYr!B69&gt;" ",(inputPrYr!B69)," ")</f>
        <v>Housing Authority Project</v>
      </c>
      <c r="J5" s="692"/>
      <c r="K5" s="61"/>
    </row>
    <row r="6" spans="1:11" x14ac:dyDescent="0.2">
      <c r="A6" s="125" t="s">
        <v>382</v>
      </c>
      <c r="B6" s="126"/>
      <c r="C6" s="127" t="s">
        <v>382</v>
      </c>
      <c r="D6" s="128"/>
      <c r="E6" s="127" t="s">
        <v>382</v>
      </c>
      <c r="F6" s="566"/>
      <c r="G6" s="127" t="s">
        <v>382</v>
      </c>
      <c r="H6" s="85"/>
      <c r="I6" s="127" t="s">
        <v>382</v>
      </c>
      <c r="J6" s="33"/>
      <c r="K6" s="568" t="s">
        <v>107</v>
      </c>
    </row>
    <row r="7" spans="1:11" x14ac:dyDescent="0.2">
      <c r="A7" s="129" t="s">
        <v>383</v>
      </c>
      <c r="B7" s="130">
        <v>7887</v>
      </c>
      <c r="C7" s="131" t="s">
        <v>383</v>
      </c>
      <c r="D7" s="130">
        <v>144478</v>
      </c>
      <c r="E7" s="131" t="s">
        <v>383</v>
      </c>
      <c r="F7" s="130">
        <v>1237984</v>
      </c>
      <c r="G7" s="131" t="s">
        <v>383</v>
      </c>
      <c r="H7" s="130">
        <v>290040</v>
      </c>
      <c r="I7" s="131" t="s">
        <v>383</v>
      </c>
      <c r="J7" s="130">
        <v>-53115</v>
      </c>
      <c r="K7" s="132">
        <f>SUM(B7+D7+F7+H7+J7)</f>
        <v>1627274</v>
      </c>
    </row>
    <row r="8" spans="1:11" x14ac:dyDescent="0.2">
      <c r="A8" s="133" t="s">
        <v>325</v>
      </c>
      <c r="B8" s="134"/>
      <c r="C8" s="133" t="s">
        <v>325</v>
      </c>
      <c r="D8" s="135"/>
      <c r="E8" s="133" t="s">
        <v>325</v>
      </c>
      <c r="F8" s="559"/>
      <c r="G8" s="133" t="s">
        <v>325</v>
      </c>
      <c r="H8" s="33"/>
      <c r="I8" s="133" t="s">
        <v>325</v>
      </c>
      <c r="J8" s="33"/>
      <c r="K8" s="559"/>
    </row>
    <row r="9" spans="1:11" x14ac:dyDescent="0.2">
      <c r="A9" s="136" t="s">
        <v>888</v>
      </c>
      <c r="B9" s="130">
        <v>14050</v>
      </c>
      <c r="C9" s="136" t="s">
        <v>889</v>
      </c>
      <c r="D9" s="130">
        <v>646564</v>
      </c>
      <c r="E9" s="136" t="s">
        <v>890</v>
      </c>
      <c r="F9" s="130">
        <v>360459</v>
      </c>
      <c r="G9" s="136"/>
      <c r="H9" s="130"/>
      <c r="I9" s="136" t="s">
        <v>879</v>
      </c>
      <c r="J9" s="130">
        <v>780</v>
      </c>
      <c r="K9" s="559"/>
    </row>
    <row r="10" spans="1:11" x14ac:dyDescent="0.2">
      <c r="A10" s="136"/>
      <c r="B10" s="130"/>
      <c r="C10" s="136"/>
      <c r="D10" s="130"/>
      <c r="E10" s="136"/>
      <c r="F10" s="130"/>
      <c r="G10" s="136"/>
      <c r="H10" s="130"/>
      <c r="I10" s="136"/>
      <c r="J10" s="130"/>
      <c r="K10" s="559"/>
    </row>
    <row r="11" spans="1:11" x14ac:dyDescent="0.2">
      <c r="A11" s="136"/>
      <c r="B11" s="130"/>
      <c r="C11" s="137"/>
      <c r="D11" s="130"/>
      <c r="E11" s="137"/>
      <c r="F11" s="130"/>
      <c r="G11" s="137"/>
      <c r="H11" s="130"/>
      <c r="I11" s="138"/>
      <c r="J11" s="130"/>
      <c r="K11" s="559"/>
    </row>
    <row r="12" spans="1:11" x14ac:dyDescent="0.2">
      <c r="A12" s="136"/>
      <c r="B12" s="130"/>
      <c r="C12" s="136"/>
      <c r="D12" s="130"/>
      <c r="E12" s="139"/>
      <c r="F12" s="130"/>
      <c r="G12" s="139"/>
      <c r="H12" s="130"/>
      <c r="I12" s="139"/>
      <c r="J12" s="130"/>
      <c r="K12" s="559"/>
    </row>
    <row r="13" spans="1:11" x14ac:dyDescent="0.2">
      <c r="A13" s="140"/>
      <c r="B13" s="130"/>
      <c r="C13" s="141"/>
      <c r="D13" s="130"/>
      <c r="E13" s="141"/>
      <c r="F13" s="130"/>
      <c r="G13" s="141"/>
      <c r="H13" s="130"/>
      <c r="I13" s="138"/>
      <c r="J13" s="130"/>
      <c r="K13" s="559"/>
    </row>
    <row r="14" spans="1:11" x14ac:dyDescent="0.2">
      <c r="A14" s="136"/>
      <c r="B14" s="130"/>
      <c r="C14" s="139"/>
      <c r="D14" s="130"/>
      <c r="E14" s="139"/>
      <c r="F14" s="130"/>
      <c r="G14" s="139"/>
      <c r="H14" s="130"/>
      <c r="I14" s="139"/>
      <c r="J14" s="130"/>
      <c r="K14" s="559"/>
    </row>
    <row r="15" spans="1:11" x14ac:dyDescent="0.2">
      <c r="A15" s="136"/>
      <c r="B15" s="130"/>
      <c r="C15" s="139"/>
      <c r="D15" s="130"/>
      <c r="E15" s="139"/>
      <c r="F15" s="130"/>
      <c r="G15" s="139"/>
      <c r="H15" s="130"/>
      <c r="I15" s="139"/>
      <c r="J15" s="130"/>
      <c r="K15" s="559"/>
    </row>
    <row r="16" spans="1:11" x14ac:dyDescent="0.2">
      <c r="A16" s="136"/>
      <c r="B16" s="130"/>
      <c r="C16" s="136"/>
      <c r="D16" s="130"/>
      <c r="E16" s="136"/>
      <c r="F16" s="130"/>
      <c r="G16" s="139"/>
      <c r="H16" s="130"/>
      <c r="I16" s="136"/>
      <c r="J16" s="130"/>
      <c r="K16" s="559"/>
    </row>
    <row r="17" spans="1:12" x14ac:dyDescent="0.2">
      <c r="A17" s="133" t="s">
        <v>340</v>
      </c>
      <c r="B17" s="132">
        <f>SUM(B9:B16)</f>
        <v>14050</v>
      </c>
      <c r="C17" s="133" t="s">
        <v>340</v>
      </c>
      <c r="D17" s="132">
        <f>SUM(D9:D16)</f>
        <v>646564</v>
      </c>
      <c r="E17" s="133" t="s">
        <v>340</v>
      </c>
      <c r="F17" s="254">
        <f>SUM(F9:F16)</f>
        <v>360459</v>
      </c>
      <c r="G17" s="133" t="s">
        <v>340</v>
      </c>
      <c r="H17" s="132">
        <f>SUM(H9:H16)</f>
        <v>0</v>
      </c>
      <c r="I17" s="133" t="s">
        <v>340</v>
      </c>
      <c r="J17" s="132">
        <f>SUM(J9:J16)</f>
        <v>780</v>
      </c>
      <c r="K17" s="132">
        <f>SUM(B17+D17+F17+H17+J17)</f>
        <v>1021853</v>
      </c>
    </row>
    <row r="18" spans="1:12" x14ac:dyDescent="0.2">
      <c r="A18" s="133" t="s">
        <v>341</v>
      </c>
      <c r="B18" s="132">
        <f>SUM(B7+B17)</f>
        <v>21937</v>
      </c>
      <c r="C18" s="133" t="s">
        <v>341</v>
      </c>
      <c r="D18" s="132">
        <f>SUM(D7+D17)</f>
        <v>791042</v>
      </c>
      <c r="E18" s="133" t="s">
        <v>341</v>
      </c>
      <c r="F18" s="132">
        <f>SUM(F7+F17)</f>
        <v>1598443</v>
      </c>
      <c r="G18" s="133" t="s">
        <v>341</v>
      </c>
      <c r="H18" s="132">
        <f>SUM(H7+H17)</f>
        <v>290040</v>
      </c>
      <c r="I18" s="133" t="s">
        <v>341</v>
      </c>
      <c r="J18" s="132">
        <f>SUM(J7+J17)</f>
        <v>-52335</v>
      </c>
      <c r="K18" s="132">
        <f>SUM(B18+D18+F18+H18+J18)</f>
        <v>2649127</v>
      </c>
    </row>
    <row r="19" spans="1:12" x14ac:dyDescent="0.2">
      <c r="A19" s="133" t="s">
        <v>343</v>
      </c>
      <c r="B19" s="134"/>
      <c r="C19" s="133" t="s">
        <v>343</v>
      </c>
      <c r="D19" s="135"/>
      <c r="E19" s="133" t="s">
        <v>343</v>
      </c>
      <c r="F19" s="559"/>
      <c r="G19" s="133" t="s">
        <v>343</v>
      </c>
      <c r="H19" s="33"/>
      <c r="I19" s="133" t="s">
        <v>343</v>
      </c>
      <c r="J19" s="33"/>
      <c r="K19" s="559"/>
    </row>
    <row r="20" spans="1:12" x14ac:dyDescent="0.2">
      <c r="A20" s="136" t="s">
        <v>891</v>
      </c>
      <c r="B20" s="130">
        <v>19838</v>
      </c>
      <c r="C20" s="139" t="s">
        <v>892</v>
      </c>
      <c r="D20" s="130">
        <v>622866</v>
      </c>
      <c r="E20" s="139" t="s">
        <v>851</v>
      </c>
      <c r="F20" s="130"/>
      <c r="G20" s="139" t="s">
        <v>851</v>
      </c>
      <c r="H20" s="130">
        <v>290040</v>
      </c>
      <c r="I20" s="139" t="s">
        <v>851</v>
      </c>
      <c r="J20" s="130">
        <v>250682</v>
      </c>
      <c r="K20" s="559"/>
    </row>
    <row r="21" spans="1:12" x14ac:dyDescent="0.2">
      <c r="A21" s="136"/>
      <c r="B21" s="130"/>
      <c r="C21" s="139"/>
      <c r="D21" s="130"/>
      <c r="E21" s="139" t="s">
        <v>893</v>
      </c>
      <c r="F21" s="130">
        <v>373476</v>
      </c>
      <c r="G21" s="139"/>
      <c r="H21" s="130"/>
      <c r="I21" s="139" t="s">
        <v>855</v>
      </c>
      <c r="J21" s="130">
        <v>685</v>
      </c>
      <c r="K21" s="559"/>
    </row>
    <row r="22" spans="1:12" x14ac:dyDescent="0.2">
      <c r="A22" s="136"/>
      <c r="B22" s="130"/>
      <c r="C22" s="141"/>
      <c r="D22" s="130"/>
      <c r="E22" s="141"/>
      <c r="F22" s="130"/>
      <c r="G22" s="141"/>
      <c r="H22" s="130"/>
      <c r="I22" s="138" t="s">
        <v>861</v>
      </c>
      <c r="J22" s="130">
        <v>31380</v>
      </c>
      <c r="K22" s="559"/>
    </row>
    <row r="23" spans="1:12" x14ac:dyDescent="0.2">
      <c r="A23" s="136"/>
      <c r="B23" s="130"/>
      <c r="C23" s="139"/>
      <c r="D23" s="130"/>
      <c r="E23" s="139"/>
      <c r="F23" s="130"/>
      <c r="G23" s="139"/>
      <c r="H23" s="130"/>
      <c r="I23" s="139"/>
      <c r="J23" s="130"/>
      <c r="K23" s="559"/>
    </row>
    <row r="24" spans="1:12" x14ac:dyDescent="0.2">
      <c r="A24" s="136"/>
      <c r="B24" s="130"/>
      <c r="C24" s="141"/>
      <c r="D24" s="130"/>
      <c r="E24" s="141"/>
      <c r="F24" s="130"/>
      <c r="G24" s="141"/>
      <c r="H24" s="130"/>
      <c r="I24" s="138"/>
      <c r="J24" s="130"/>
      <c r="K24" s="559"/>
    </row>
    <row r="25" spans="1:12" x14ac:dyDescent="0.2">
      <c r="A25" s="136"/>
      <c r="B25" s="130"/>
      <c r="C25" s="139"/>
      <c r="D25" s="130"/>
      <c r="E25" s="139"/>
      <c r="F25" s="130"/>
      <c r="G25" s="139"/>
      <c r="H25" s="130"/>
      <c r="I25" s="139"/>
      <c r="J25" s="130"/>
      <c r="K25" s="559"/>
    </row>
    <row r="26" spans="1:12" x14ac:dyDescent="0.2">
      <c r="A26" s="136"/>
      <c r="B26" s="130"/>
      <c r="C26" s="139"/>
      <c r="D26" s="130"/>
      <c r="E26" s="139"/>
      <c r="F26" s="130"/>
      <c r="G26" s="139"/>
      <c r="H26" s="130"/>
      <c r="I26" s="139"/>
      <c r="J26" s="130"/>
      <c r="K26" s="559"/>
    </row>
    <row r="27" spans="1:12" x14ac:dyDescent="0.2">
      <c r="A27" s="136"/>
      <c r="B27" s="130"/>
      <c r="C27" s="136"/>
      <c r="D27" s="130"/>
      <c r="E27" s="136"/>
      <c r="F27" s="130"/>
      <c r="G27" s="139"/>
      <c r="H27" s="130"/>
      <c r="I27" s="139"/>
      <c r="J27" s="130"/>
      <c r="K27" s="559"/>
    </row>
    <row r="28" spans="1:12" x14ac:dyDescent="0.2">
      <c r="A28" s="133" t="s">
        <v>351</v>
      </c>
      <c r="B28" s="132">
        <f>SUM(B20:B27)</f>
        <v>19838</v>
      </c>
      <c r="C28" s="133" t="s">
        <v>351</v>
      </c>
      <c r="D28" s="132">
        <f>SUM(D20:D27)</f>
        <v>622866</v>
      </c>
      <c r="E28" s="133" t="s">
        <v>351</v>
      </c>
      <c r="F28" s="254">
        <f>SUM(F20:F27)</f>
        <v>373476</v>
      </c>
      <c r="G28" s="133" t="s">
        <v>351</v>
      </c>
      <c r="H28" s="254">
        <f>SUM(H20:H27)</f>
        <v>290040</v>
      </c>
      <c r="I28" s="133" t="s">
        <v>351</v>
      </c>
      <c r="J28" s="132">
        <f>SUM(J20:J27)</f>
        <v>282747</v>
      </c>
      <c r="K28" s="132">
        <f>SUM(B28+D28+F28+H28+J28)</f>
        <v>1588967</v>
      </c>
    </row>
    <row r="29" spans="1:12" x14ac:dyDescent="0.2">
      <c r="A29" s="133" t="s">
        <v>384</v>
      </c>
      <c r="B29" s="132">
        <f>SUM(B18-B28)</f>
        <v>2099</v>
      </c>
      <c r="C29" s="133" t="s">
        <v>384</v>
      </c>
      <c r="D29" s="132">
        <f>SUM(D18-D28)</f>
        <v>168176</v>
      </c>
      <c r="E29" s="133" t="s">
        <v>384</v>
      </c>
      <c r="F29" s="132">
        <f>SUM(F18-F28)</f>
        <v>1224967</v>
      </c>
      <c r="G29" s="133" t="s">
        <v>384</v>
      </c>
      <c r="H29" s="132">
        <f>SUM(H18-H28)</f>
        <v>0</v>
      </c>
      <c r="I29" s="133" t="s">
        <v>384</v>
      </c>
      <c r="J29" s="132">
        <f>SUM(J18-J28)</f>
        <v>-335082</v>
      </c>
      <c r="K29" s="142">
        <f>SUM(B29+D29+F29+H29+J29)</f>
        <v>1060160</v>
      </c>
      <c r="L29" s="30" t="s">
        <v>385</v>
      </c>
    </row>
    <row r="30" spans="1:12" x14ac:dyDescent="0.2">
      <c r="A30" s="133"/>
      <c r="B30" s="144" t="str">
        <f>IF(B29&lt;0,"See Tab B","")</f>
        <v/>
      </c>
      <c r="C30" s="133"/>
      <c r="D30" s="144" t="str">
        <f>IF(D29&lt;0,"See Tab B","")</f>
        <v/>
      </c>
      <c r="E30" s="133"/>
      <c r="F30" s="144" t="str">
        <f>IF(F29&lt;0,"See Tab B","")</f>
        <v/>
      </c>
      <c r="G30" s="33"/>
      <c r="H30" s="144" t="str">
        <f>IF(H29&lt;0,"See Tab B","")</f>
        <v/>
      </c>
      <c r="I30" s="33"/>
      <c r="J30" s="144" t="str">
        <f>IF(J29&lt;0,"See Tab B","")</f>
        <v>See Tab B</v>
      </c>
      <c r="K30" s="142">
        <f>SUM(K7+K17-K28)</f>
        <v>1060160</v>
      </c>
      <c r="L30" s="30" t="s">
        <v>385</v>
      </c>
    </row>
    <row r="31" spans="1:12" x14ac:dyDescent="0.2">
      <c r="A31" s="33"/>
      <c r="B31" s="87"/>
      <c r="C31" s="33"/>
      <c r="D31" s="559"/>
      <c r="E31" s="33"/>
      <c r="F31" s="33"/>
      <c r="G31" s="687" t="s">
        <v>386</v>
      </c>
      <c r="H31" s="687"/>
      <c r="I31" s="687"/>
      <c r="J31" s="687"/>
      <c r="K31" s="687"/>
    </row>
    <row r="32" spans="1:12" x14ac:dyDescent="0.2">
      <c r="A32" s="33"/>
      <c r="B32" s="87"/>
      <c r="C32" s="33"/>
      <c r="D32" s="33"/>
      <c r="E32" s="33"/>
      <c r="F32" s="33"/>
      <c r="G32" s="33"/>
      <c r="H32" s="33"/>
      <c r="I32" s="33"/>
      <c r="J32" s="33"/>
      <c r="K32" s="33"/>
    </row>
    <row r="33" spans="1:11" x14ac:dyDescent="0.2">
      <c r="A33" s="172" t="s">
        <v>387</v>
      </c>
      <c r="B33" s="430"/>
      <c r="C33" s="98"/>
      <c r="D33" s="98"/>
      <c r="E33" s="98"/>
      <c r="F33" s="98"/>
      <c r="G33" s="98"/>
      <c r="H33" s="98"/>
      <c r="I33" s="98"/>
      <c r="J33" s="98"/>
      <c r="K33" s="479"/>
    </row>
    <row r="34" spans="1:11" x14ac:dyDescent="0.2">
      <c r="A34" s="500"/>
      <c r="B34" s="87"/>
      <c r="C34" s="33"/>
      <c r="D34" s="33"/>
      <c r="E34" s="33"/>
      <c r="F34" s="33"/>
      <c r="G34" s="33"/>
      <c r="H34" s="33"/>
      <c r="I34" s="33"/>
      <c r="J34" s="33"/>
      <c r="K34" s="501"/>
    </row>
    <row r="35" spans="1:11" x14ac:dyDescent="0.2">
      <c r="A35" s="480"/>
      <c r="B35" s="122"/>
      <c r="C35" s="61"/>
      <c r="D35" s="61"/>
      <c r="E35" s="61"/>
      <c r="F35" s="61"/>
      <c r="G35" s="61"/>
      <c r="H35" s="61"/>
      <c r="I35" s="61"/>
      <c r="J35" s="61"/>
      <c r="K35" s="81"/>
    </row>
    <row r="36" spans="1:11" x14ac:dyDescent="0.2">
      <c r="A36" s="33"/>
      <c r="B36" s="87"/>
      <c r="C36" s="33"/>
      <c r="D36" s="33"/>
      <c r="E36" s="33"/>
      <c r="F36" s="33"/>
      <c r="G36" s="33"/>
      <c r="H36" s="33"/>
      <c r="I36" s="33"/>
      <c r="J36" s="33"/>
      <c r="K36" s="33"/>
    </row>
    <row r="37" spans="1:11" x14ac:dyDescent="0.2">
      <c r="A37" s="33"/>
      <c r="B37" s="87"/>
      <c r="C37" s="33"/>
      <c r="D37" s="33"/>
      <c r="E37" s="564" t="s">
        <v>364</v>
      </c>
      <c r="F37" s="462">
        <v>16</v>
      </c>
      <c r="G37" s="33"/>
      <c r="H37" s="33"/>
      <c r="I37" s="33"/>
      <c r="J37" s="33"/>
      <c r="K37" s="33"/>
    </row>
    <row r="38" spans="1:11" x14ac:dyDescent="0.2">
      <c r="B38" s="143"/>
    </row>
    <row r="39" spans="1:11" x14ac:dyDescent="0.2">
      <c r="B39" s="143"/>
    </row>
    <row r="40" spans="1:11" x14ac:dyDescent="0.2">
      <c r="B40" s="143"/>
    </row>
    <row r="41" spans="1:11" x14ac:dyDescent="0.2">
      <c r="B41" s="143"/>
    </row>
    <row r="42" spans="1:11" x14ac:dyDescent="0.2">
      <c r="B42" s="143"/>
    </row>
    <row r="43" spans="1:11" x14ac:dyDescent="0.2">
      <c r="B43" s="143"/>
    </row>
    <row r="44" spans="1:11" x14ac:dyDescent="0.2">
      <c r="B44" s="143"/>
    </row>
    <row r="45" spans="1:11" x14ac:dyDescent="0.2">
      <c r="B45" s="143"/>
    </row>
  </sheetData>
  <sheetProtection sheet="1"/>
  <mergeCells count="7">
    <mergeCell ref="G31:K31"/>
    <mergeCell ref="A2:K2"/>
    <mergeCell ref="I5:J5"/>
    <mergeCell ref="A5:B5"/>
    <mergeCell ref="C5:D5"/>
    <mergeCell ref="E5:F5"/>
    <mergeCell ref="G5:H5"/>
  </mergeCells>
  <phoneticPr fontId="9" type="noConversion"/>
  <pageMargins left="0.75" right="0.75" top="1" bottom="1" header="0.5" footer="0.5"/>
  <pageSetup scale="82" orientation="landscape" blackAndWhite="1" r:id="rId1"/>
  <headerFooter alignWithMargins="0">
    <oddHeader>&amp;RState of Kansas
City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2">
    <tabColor rgb="FF00B0F0"/>
    <pageSetUpPr fitToPage="1"/>
  </sheetPr>
  <dimension ref="A1:L45"/>
  <sheetViews>
    <sheetView topLeftCell="A7" workbookViewId="0">
      <selection activeCell="F38" sqref="F38"/>
    </sheetView>
  </sheetViews>
  <sheetFormatPr defaultColWidth="8.88671875" defaultRowHeight="15.75" x14ac:dyDescent="0.2"/>
  <cols>
    <col min="1" max="1" width="11.5546875" style="30" customWidth="1"/>
    <col min="2" max="2" width="7.44140625" style="30" customWidth="1"/>
    <col min="3" max="3" width="11.5546875" style="30" customWidth="1"/>
    <col min="4" max="4" width="7.44140625" style="30" customWidth="1"/>
    <col min="5" max="5" width="11.5546875" style="30" customWidth="1"/>
    <col min="6" max="6" width="7.44140625" style="30" customWidth="1"/>
    <col min="7" max="7" width="11.5546875" style="30" customWidth="1"/>
    <col min="8" max="8" width="7.44140625" style="30" customWidth="1"/>
    <col min="9" max="9" width="11.5546875" style="30" customWidth="1"/>
    <col min="10" max="16384" width="8.88671875" style="30"/>
  </cols>
  <sheetData>
    <row r="1" spans="1:11" x14ac:dyDescent="0.2">
      <c r="A1" s="51" t="str">
        <f>inputPrYr!$D$3</f>
        <v>City of Concordia</v>
      </c>
      <c r="B1" s="559"/>
      <c r="C1" s="33"/>
      <c r="D1" s="33"/>
      <c r="E1" s="33"/>
      <c r="F1" s="561" t="s">
        <v>392</v>
      </c>
      <c r="G1" s="33"/>
      <c r="H1" s="33"/>
      <c r="I1" s="33"/>
      <c r="J1" s="33"/>
      <c r="K1" s="33">
        <f>inputPrYr!$C$6</f>
        <v>2026</v>
      </c>
    </row>
    <row r="2" spans="1:11" x14ac:dyDescent="0.2">
      <c r="A2" s="688" t="str">
        <f>CONCATENATE("(Only the actual budget year for ",K1-2," is reported)")</f>
        <v>(Only the actual budget year for 2024 is reported)</v>
      </c>
      <c r="B2" s="688"/>
      <c r="C2" s="688"/>
      <c r="D2" s="688"/>
      <c r="E2" s="688"/>
      <c r="F2" s="688"/>
      <c r="G2" s="688"/>
      <c r="H2" s="688"/>
      <c r="I2" s="688"/>
      <c r="J2" s="688"/>
      <c r="K2" s="688"/>
    </row>
    <row r="3" spans="1:11" x14ac:dyDescent="0.2">
      <c r="A3" s="33" t="s">
        <v>393</v>
      </c>
      <c r="B3" s="33"/>
      <c r="C3" s="33"/>
      <c r="D3" s="33"/>
      <c r="E3" s="33"/>
      <c r="F3" s="559"/>
      <c r="G3" s="33"/>
      <c r="H3" s="33"/>
      <c r="I3" s="33"/>
      <c r="J3" s="33"/>
      <c r="K3" s="33"/>
    </row>
    <row r="4" spans="1:11" x14ac:dyDescent="0.2">
      <c r="A4" s="33" t="s">
        <v>377</v>
      </c>
      <c r="B4" s="33"/>
      <c r="C4" s="33" t="s">
        <v>378</v>
      </c>
      <c r="D4" s="33"/>
      <c r="E4" s="33" t="s">
        <v>379</v>
      </c>
      <c r="F4" s="559"/>
      <c r="G4" s="33" t="s">
        <v>380</v>
      </c>
      <c r="H4" s="33"/>
      <c r="I4" s="33" t="s">
        <v>381</v>
      </c>
      <c r="J4" s="33"/>
      <c r="K4" s="33"/>
    </row>
    <row r="5" spans="1:11" x14ac:dyDescent="0.2">
      <c r="A5" s="689" t="str">
        <f>IF(inputPrYr!B71&gt;" ",(inputPrYr!B71)," ")</f>
        <v>St. Joseph Subdivision</v>
      </c>
      <c r="B5" s="690"/>
      <c r="C5" s="689" t="str">
        <f>IF(inputPrYr!B72&gt;" ",(inputPrYr!B72)," ")</f>
        <v xml:space="preserve"> </v>
      </c>
      <c r="D5" s="690"/>
      <c r="E5" s="689" t="str">
        <f>IF(inputPrYr!B73&gt;" ",(inputPrYr!B73)," ")</f>
        <v xml:space="preserve"> </v>
      </c>
      <c r="F5" s="690"/>
      <c r="G5" s="689" t="str">
        <f>IF(inputPrYr!B74&gt;" ",(inputPrYr!B74)," ")</f>
        <v xml:space="preserve"> </v>
      </c>
      <c r="H5" s="690"/>
      <c r="I5" s="689" t="str">
        <f>IF(inputPrYr!B75&gt;" ",(inputPrYr!B75)," ")</f>
        <v xml:space="preserve"> </v>
      </c>
      <c r="J5" s="690"/>
      <c r="K5" s="61"/>
    </row>
    <row r="6" spans="1:11" x14ac:dyDescent="0.2">
      <c r="A6" s="125" t="s">
        <v>382</v>
      </c>
      <c r="B6" s="126"/>
      <c r="C6" s="127" t="s">
        <v>382</v>
      </c>
      <c r="D6" s="128"/>
      <c r="E6" s="127" t="s">
        <v>382</v>
      </c>
      <c r="F6" s="566"/>
      <c r="G6" s="127" t="s">
        <v>382</v>
      </c>
      <c r="H6" s="85"/>
      <c r="I6" s="127" t="s">
        <v>382</v>
      </c>
      <c r="J6" s="33"/>
      <c r="K6" s="568" t="s">
        <v>107</v>
      </c>
    </row>
    <row r="7" spans="1:11" x14ac:dyDescent="0.2">
      <c r="A7" s="129" t="s">
        <v>383</v>
      </c>
      <c r="B7" s="130">
        <v>1270745</v>
      </c>
      <c r="C7" s="131" t="s">
        <v>383</v>
      </c>
      <c r="D7" s="130"/>
      <c r="E7" s="131" t="s">
        <v>383</v>
      </c>
      <c r="F7" s="130"/>
      <c r="G7" s="131" t="s">
        <v>383</v>
      </c>
      <c r="H7" s="130"/>
      <c r="I7" s="131" t="s">
        <v>383</v>
      </c>
      <c r="J7" s="130"/>
      <c r="K7" s="132">
        <f>SUM(B7+D7+F7+H7+J7)</f>
        <v>1270745</v>
      </c>
    </row>
    <row r="8" spans="1:11" x14ac:dyDescent="0.2">
      <c r="A8" s="133" t="s">
        <v>325</v>
      </c>
      <c r="B8" s="134"/>
      <c r="C8" s="133" t="s">
        <v>325</v>
      </c>
      <c r="D8" s="135"/>
      <c r="E8" s="133" t="s">
        <v>325</v>
      </c>
      <c r="F8" s="559"/>
      <c r="G8" s="133" t="s">
        <v>325</v>
      </c>
      <c r="H8" s="33"/>
      <c r="I8" s="133" t="s">
        <v>325</v>
      </c>
      <c r="J8" s="33"/>
      <c r="K8" s="559"/>
    </row>
    <row r="9" spans="1:11" x14ac:dyDescent="0.2">
      <c r="A9" s="136" t="s">
        <v>894</v>
      </c>
      <c r="B9" s="130">
        <v>84880</v>
      </c>
      <c r="C9" s="136"/>
      <c r="D9" s="130"/>
      <c r="E9" s="136"/>
      <c r="F9" s="130"/>
      <c r="G9" s="136"/>
      <c r="H9" s="130"/>
      <c r="I9" s="136"/>
      <c r="J9" s="130"/>
      <c r="K9" s="559"/>
    </row>
    <row r="10" spans="1:11" x14ac:dyDescent="0.2">
      <c r="A10" s="136"/>
      <c r="B10" s="130"/>
      <c r="C10" s="136"/>
      <c r="D10" s="130"/>
      <c r="E10" s="136"/>
      <c r="F10" s="130"/>
      <c r="G10" s="136"/>
      <c r="H10" s="130"/>
      <c r="I10" s="136"/>
      <c r="J10" s="130"/>
      <c r="K10" s="559"/>
    </row>
    <row r="11" spans="1:11" x14ac:dyDescent="0.2">
      <c r="A11" s="136"/>
      <c r="B11" s="130"/>
      <c r="C11" s="137"/>
      <c r="D11" s="130"/>
      <c r="E11" s="137"/>
      <c r="F11" s="130"/>
      <c r="G11" s="137"/>
      <c r="H11" s="130"/>
      <c r="I11" s="138"/>
      <c r="J11" s="130"/>
      <c r="K11" s="559"/>
    </row>
    <row r="12" spans="1:11" x14ac:dyDescent="0.2">
      <c r="A12" s="136"/>
      <c r="B12" s="130"/>
      <c r="C12" s="136"/>
      <c r="D12" s="130"/>
      <c r="E12" s="139"/>
      <c r="F12" s="130"/>
      <c r="G12" s="139"/>
      <c r="H12" s="130"/>
      <c r="I12" s="139"/>
      <c r="J12" s="130"/>
      <c r="K12" s="559"/>
    </row>
    <row r="13" spans="1:11" x14ac:dyDescent="0.2">
      <c r="A13" s="140"/>
      <c r="B13" s="130"/>
      <c r="C13" s="141"/>
      <c r="D13" s="130"/>
      <c r="E13" s="141"/>
      <c r="F13" s="130"/>
      <c r="G13" s="141"/>
      <c r="H13" s="130"/>
      <c r="I13" s="138"/>
      <c r="J13" s="130"/>
      <c r="K13" s="559"/>
    </row>
    <row r="14" spans="1:11" x14ac:dyDescent="0.2">
      <c r="A14" s="136"/>
      <c r="B14" s="130"/>
      <c r="C14" s="139"/>
      <c r="D14" s="130"/>
      <c r="E14" s="139"/>
      <c r="F14" s="130"/>
      <c r="G14" s="139"/>
      <c r="H14" s="130"/>
      <c r="I14" s="139"/>
      <c r="J14" s="130"/>
      <c r="K14" s="559"/>
    </row>
    <row r="15" spans="1:11" x14ac:dyDescent="0.2">
      <c r="A15" s="136"/>
      <c r="B15" s="130"/>
      <c r="C15" s="139"/>
      <c r="D15" s="130"/>
      <c r="E15" s="139"/>
      <c r="F15" s="130"/>
      <c r="G15" s="139"/>
      <c r="H15" s="130"/>
      <c r="I15" s="139"/>
      <c r="J15" s="130"/>
      <c r="K15" s="559"/>
    </row>
    <row r="16" spans="1:11" x14ac:dyDescent="0.2">
      <c r="A16" s="136"/>
      <c r="B16" s="130"/>
      <c r="C16" s="136"/>
      <c r="D16" s="130"/>
      <c r="E16" s="136"/>
      <c r="F16" s="130"/>
      <c r="G16" s="139"/>
      <c r="H16" s="130"/>
      <c r="I16" s="136"/>
      <c r="J16" s="130"/>
      <c r="K16" s="559"/>
    </row>
    <row r="17" spans="1:12" x14ac:dyDescent="0.2">
      <c r="A17" s="133" t="s">
        <v>340</v>
      </c>
      <c r="B17" s="132">
        <f>SUM(B9:B16)</f>
        <v>84880</v>
      </c>
      <c r="C17" s="133" t="s">
        <v>340</v>
      </c>
      <c r="D17" s="132">
        <f>SUM(D9:D16)</f>
        <v>0</v>
      </c>
      <c r="E17" s="133" t="s">
        <v>340</v>
      </c>
      <c r="F17" s="254">
        <f>SUM(F9:F16)</f>
        <v>0</v>
      </c>
      <c r="G17" s="133" t="s">
        <v>340</v>
      </c>
      <c r="H17" s="132">
        <f>SUM(H9:H16)</f>
        <v>0</v>
      </c>
      <c r="I17" s="133" t="s">
        <v>340</v>
      </c>
      <c r="J17" s="132">
        <f>SUM(J9:J16)</f>
        <v>0</v>
      </c>
      <c r="K17" s="132">
        <f>SUM(B17+D17+F17+H17+J17)</f>
        <v>84880</v>
      </c>
    </row>
    <row r="18" spans="1:12" x14ac:dyDescent="0.2">
      <c r="A18" s="133" t="s">
        <v>341</v>
      </c>
      <c r="B18" s="132">
        <f>SUM(B7+B17)</f>
        <v>1355625</v>
      </c>
      <c r="C18" s="133" t="s">
        <v>341</v>
      </c>
      <c r="D18" s="132">
        <f>SUM(D7+D17)</f>
        <v>0</v>
      </c>
      <c r="E18" s="133" t="s">
        <v>341</v>
      </c>
      <c r="F18" s="132">
        <f>SUM(F7+F17)</f>
        <v>0</v>
      </c>
      <c r="G18" s="133" t="s">
        <v>341</v>
      </c>
      <c r="H18" s="132">
        <f>SUM(H7+H17)</f>
        <v>0</v>
      </c>
      <c r="I18" s="133" t="s">
        <v>341</v>
      </c>
      <c r="J18" s="132">
        <f>SUM(J7+J17)</f>
        <v>0</v>
      </c>
      <c r="K18" s="132">
        <f>SUM(B18+D18+F18+H18+J18)</f>
        <v>1355625</v>
      </c>
    </row>
    <row r="19" spans="1:12" x14ac:dyDescent="0.2">
      <c r="A19" s="133" t="s">
        <v>343</v>
      </c>
      <c r="B19" s="134"/>
      <c r="C19" s="133" t="s">
        <v>343</v>
      </c>
      <c r="D19" s="135"/>
      <c r="E19" s="133" t="s">
        <v>343</v>
      </c>
      <c r="F19" s="559"/>
      <c r="G19" s="133" t="s">
        <v>343</v>
      </c>
      <c r="H19" s="33"/>
      <c r="I19" s="133" t="s">
        <v>343</v>
      </c>
      <c r="J19" s="33"/>
      <c r="K19" s="559"/>
    </row>
    <row r="20" spans="1:12" x14ac:dyDescent="0.2">
      <c r="A20" s="136" t="s">
        <v>851</v>
      </c>
      <c r="B20" s="130">
        <v>1377898</v>
      </c>
      <c r="C20" s="139"/>
      <c r="D20" s="130"/>
      <c r="E20" s="139"/>
      <c r="F20" s="130"/>
      <c r="G20" s="139"/>
      <c r="H20" s="130"/>
      <c r="I20" s="139"/>
      <c r="J20" s="130"/>
      <c r="K20" s="559"/>
    </row>
    <row r="21" spans="1:12" x14ac:dyDescent="0.2">
      <c r="A21" s="136"/>
      <c r="B21" s="130"/>
      <c r="C21" s="139"/>
      <c r="D21" s="130"/>
      <c r="E21" s="139"/>
      <c r="F21" s="130"/>
      <c r="G21" s="139"/>
      <c r="H21" s="130"/>
      <c r="I21" s="139"/>
      <c r="J21" s="130"/>
      <c r="K21" s="559"/>
    </row>
    <row r="22" spans="1:12" x14ac:dyDescent="0.2">
      <c r="A22" s="136"/>
      <c r="B22" s="130"/>
      <c r="C22" s="141"/>
      <c r="D22" s="130"/>
      <c r="E22" s="141"/>
      <c r="F22" s="130"/>
      <c r="G22" s="141"/>
      <c r="H22" s="130"/>
      <c r="I22" s="138"/>
      <c r="J22" s="130"/>
      <c r="K22" s="559"/>
    </row>
    <row r="23" spans="1:12" x14ac:dyDescent="0.2">
      <c r="A23" s="136"/>
      <c r="B23" s="130"/>
      <c r="C23" s="139"/>
      <c r="D23" s="130"/>
      <c r="E23" s="139"/>
      <c r="F23" s="130"/>
      <c r="G23" s="139"/>
      <c r="H23" s="130"/>
      <c r="I23" s="139"/>
      <c r="J23" s="130"/>
      <c r="K23" s="559"/>
    </row>
    <row r="24" spans="1:12" x14ac:dyDescent="0.2">
      <c r="A24" s="136"/>
      <c r="B24" s="130"/>
      <c r="C24" s="141"/>
      <c r="D24" s="130"/>
      <c r="E24" s="141"/>
      <c r="F24" s="130"/>
      <c r="G24" s="141"/>
      <c r="H24" s="130"/>
      <c r="I24" s="138"/>
      <c r="J24" s="130"/>
      <c r="K24" s="559"/>
    </row>
    <row r="25" spans="1:12" x14ac:dyDescent="0.2">
      <c r="A25" s="136"/>
      <c r="B25" s="130"/>
      <c r="C25" s="139"/>
      <c r="D25" s="130"/>
      <c r="E25" s="139"/>
      <c r="F25" s="130"/>
      <c r="G25" s="139"/>
      <c r="H25" s="130"/>
      <c r="I25" s="139"/>
      <c r="J25" s="130"/>
      <c r="K25" s="559"/>
    </row>
    <row r="26" spans="1:12" x14ac:dyDescent="0.2">
      <c r="A26" s="136"/>
      <c r="B26" s="130"/>
      <c r="C26" s="139"/>
      <c r="D26" s="130"/>
      <c r="E26" s="139"/>
      <c r="F26" s="130"/>
      <c r="G26" s="139"/>
      <c r="H26" s="130"/>
      <c r="I26" s="139"/>
      <c r="J26" s="130"/>
      <c r="K26" s="559"/>
    </row>
    <row r="27" spans="1:12" x14ac:dyDescent="0.2">
      <c r="A27" s="136"/>
      <c r="B27" s="130"/>
      <c r="C27" s="136"/>
      <c r="D27" s="130"/>
      <c r="E27" s="136"/>
      <c r="F27" s="130"/>
      <c r="G27" s="139"/>
      <c r="H27" s="130"/>
      <c r="I27" s="139"/>
      <c r="J27" s="130"/>
      <c r="K27" s="559"/>
    </row>
    <row r="28" spans="1:12" x14ac:dyDescent="0.2">
      <c r="A28" s="133" t="s">
        <v>351</v>
      </c>
      <c r="B28" s="132">
        <f>SUM(B20:B27)</f>
        <v>1377898</v>
      </c>
      <c r="C28" s="133" t="s">
        <v>351</v>
      </c>
      <c r="D28" s="132">
        <f>SUM(D20:D27)</f>
        <v>0</v>
      </c>
      <c r="E28" s="133" t="s">
        <v>351</v>
      </c>
      <c r="F28" s="254">
        <f>SUM(F20:F27)</f>
        <v>0</v>
      </c>
      <c r="G28" s="133" t="s">
        <v>351</v>
      </c>
      <c r="H28" s="254">
        <f>SUM(H20:H27)</f>
        <v>0</v>
      </c>
      <c r="I28" s="133" t="s">
        <v>351</v>
      </c>
      <c r="J28" s="132">
        <f>SUM(J20:J27)</f>
        <v>0</v>
      </c>
      <c r="K28" s="132">
        <f>SUM(B28+D28+F28+H28+J28)</f>
        <v>1377898</v>
      </c>
    </row>
    <row r="29" spans="1:12" x14ac:dyDescent="0.2">
      <c r="A29" s="133" t="s">
        <v>384</v>
      </c>
      <c r="B29" s="132">
        <f>SUM(B18-B28)</f>
        <v>-22273</v>
      </c>
      <c r="C29" s="133" t="s">
        <v>384</v>
      </c>
      <c r="D29" s="132">
        <f>SUM(D18-D28)</f>
        <v>0</v>
      </c>
      <c r="E29" s="133" t="s">
        <v>384</v>
      </c>
      <c r="F29" s="132">
        <f>SUM(F18-F28)</f>
        <v>0</v>
      </c>
      <c r="G29" s="133" t="s">
        <v>384</v>
      </c>
      <c r="H29" s="132">
        <f>SUM(H18-H28)</f>
        <v>0</v>
      </c>
      <c r="I29" s="133" t="s">
        <v>384</v>
      </c>
      <c r="J29" s="132">
        <f>SUM(J18-J28)</f>
        <v>0</v>
      </c>
      <c r="K29" s="142">
        <f>SUM(B29+D29+F29+H29+J29)</f>
        <v>-22273</v>
      </c>
      <c r="L29" s="30" t="s">
        <v>385</v>
      </c>
    </row>
    <row r="30" spans="1:12" x14ac:dyDescent="0.2">
      <c r="A30" s="133"/>
      <c r="B30" s="144" t="str">
        <f>IF(B29&lt;0,"See Tab B","")</f>
        <v>See Tab B</v>
      </c>
      <c r="C30" s="133"/>
      <c r="D30" s="144" t="str">
        <f>IF(D29&lt;0,"See Tab B","")</f>
        <v/>
      </c>
      <c r="E30" s="133"/>
      <c r="F30" s="144" t="str">
        <f>IF(F29&lt;0,"See Tab B","")</f>
        <v/>
      </c>
      <c r="G30" s="33"/>
      <c r="H30" s="144" t="str">
        <f>IF(H29&lt;0,"See Tab B","")</f>
        <v/>
      </c>
      <c r="I30" s="33"/>
      <c r="J30" s="144" t="str">
        <f>IF(J29&lt;0,"See Tab B","")</f>
        <v/>
      </c>
      <c r="K30" s="142">
        <f>SUM(K7+K17-K28)</f>
        <v>-22273</v>
      </c>
      <c r="L30" s="30" t="s">
        <v>385</v>
      </c>
    </row>
    <row r="31" spans="1:12" x14ac:dyDescent="0.2">
      <c r="A31" s="33"/>
      <c r="B31" s="87"/>
      <c r="C31" s="33"/>
      <c r="D31" s="559"/>
      <c r="E31" s="33"/>
      <c r="F31" s="33"/>
      <c r="G31" s="687" t="s">
        <v>394</v>
      </c>
      <c r="H31" s="687"/>
      <c r="I31" s="687"/>
      <c r="J31" s="687"/>
      <c r="K31" s="687"/>
    </row>
    <row r="32" spans="1:12" x14ac:dyDescent="0.2">
      <c r="A32" s="33"/>
      <c r="B32" s="87"/>
      <c r="C32" s="33"/>
      <c r="D32" s="33"/>
      <c r="E32" s="33"/>
      <c r="F32" s="33"/>
      <c r="G32" s="33"/>
      <c r="H32" s="33"/>
      <c r="I32" s="33"/>
      <c r="J32" s="33"/>
      <c r="K32" s="33"/>
    </row>
    <row r="33" spans="1:11" x14ac:dyDescent="0.2">
      <c r="A33" s="172" t="s">
        <v>387</v>
      </c>
      <c r="B33" s="430"/>
      <c r="C33" s="98"/>
      <c r="D33" s="98"/>
      <c r="E33" s="98"/>
      <c r="F33" s="98"/>
      <c r="G33" s="98"/>
      <c r="H33" s="98"/>
      <c r="I33" s="98"/>
      <c r="J33" s="98"/>
      <c r="K33" s="479"/>
    </row>
    <row r="34" spans="1:11" x14ac:dyDescent="0.2">
      <c r="A34" s="500"/>
      <c r="B34" s="87"/>
      <c r="C34" s="33"/>
      <c r="D34" s="33"/>
      <c r="E34" s="33"/>
      <c r="F34" s="33"/>
      <c r="G34" s="33"/>
      <c r="H34" s="33"/>
      <c r="I34" s="33"/>
      <c r="J34" s="33"/>
      <c r="K34" s="501"/>
    </row>
    <row r="35" spans="1:11" x14ac:dyDescent="0.2">
      <c r="A35" s="480"/>
      <c r="B35" s="122"/>
      <c r="C35" s="61"/>
      <c r="D35" s="61"/>
      <c r="E35" s="61"/>
      <c r="F35" s="61"/>
      <c r="G35" s="61"/>
      <c r="H35" s="61"/>
      <c r="I35" s="61"/>
      <c r="J35" s="61"/>
      <c r="K35" s="81"/>
    </row>
    <row r="36" spans="1:11" x14ac:dyDescent="0.2">
      <c r="A36" s="33"/>
      <c r="B36" s="87"/>
      <c r="C36" s="33"/>
      <c r="D36" s="33"/>
      <c r="E36" s="33"/>
      <c r="F36" s="33"/>
      <c r="G36" s="33"/>
      <c r="H36" s="33"/>
      <c r="I36" s="33"/>
      <c r="J36" s="33"/>
      <c r="K36" s="33"/>
    </row>
    <row r="37" spans="1:11" x14ac:dyDescent="0.2">
      <c r="A37" s="33"/>
      <c r="B37" s="87"/>
      <c r="C37" s="33"/>
      <c r="D37" s="33"/>
      <c r="E37" s="564" t="s">
        <v>364</v>
      </c>
      <c r="F37" s="462">
        <v>17</v>
      </c>
      <c r="G37" s="33"/>
      <c r="H37" s="33"/>
      <c r="I37" s="33"/>
      <c r="J37" s="33"/>
      <c r="K37" s="33"/>
    </row>
    <row r="38" spans="1:11" x14ac:dyDescent="0.2">
      <c r="B38" s="143"/>
    </row>
    <row r="39" spans="1:11" x14ac:dyDescent="0.2">
      <c r="B39" s="143"/>
    </row>
    <row r="40" spans="1:11" x14ac:dyDescent="0.2">
      <c r="B40" s="143"/>
    </row>
    <row r="41" spans="1:11" x14ac:dyDescent="0.2">
      <c r="B41" s="143"/>
    </row>
    <row r="42" spans="1:11" x14ac:dyDescent="0.2">
      <c r="B42" s="143"/>
    </row>
    <row r="43" spans="1:11" x14ac:dyDescent="0.2">
      <c r="B43" s="143"/>
    </row>
    <row r="44" spans="1:11" x14ac:dyDescent="0.2">
      <c r="B44" s="143"/>
    </row>
    <row r="45" spans="1:11" x14ac:dyDescent="0.2">
      <c r="B45" s="143"/>
    </row>
  </sheetData>
  <sheetProtection sheet="1"/>
  <mergeCells count="7">
    <mergeCell ref="G31:K31"/>
    <mergeCell ref="A2:K2"/>
    <mergeCell ref="I5:J5"/>
    <mergeCell ref="A5:B5"/>
    <mergeCell ref="C5:D5"/>
    <mergeCell ref="E5:F5"/>
    <mergeCell ref="G5:H5"/>
  </mergeCells>
  <phoneticPr fontId="9" type="noConversion"/>
  <pageMargins left="0.75" right="0.75" top="1" bottom="1" header="0.5" footer="0.5"/>
  <pageSetup scale="82" orientation="landscape" blackAndWhite="1" r:id="rId1"/>
  <headerFooter alignWithMargins="0">
    <oddHeader>&amp;RState of Kansas
City</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5">
    <tabColor rgb="FF00B0F0"/>
    <pageSetUpPr fitToPage="1"/>
  </sheetPr>
  <dimension ref="A1:Q59"/>
  <sheetViews>
    <sheetView zoomScale="75" workbookViewId="0">
      <selection activeCell="N16" sqref="N16"/>
    </sheetView>
  </sheetViews>
  <sheetFormatPr defaultColWidth="8.88671875" defaultRowHeight="15.75" x14ac:dyDescent="0.2"/>
  <cols>
    <col min="1" max="1" width="20.77734375" style="30" customWidth="1"/>
    <col min="2" max="2" width="15.77734375" style="30" customWidth="1"/>
    <col min="3" max="3" width="10.77734375" style="30" customWidth="1"/>
    <col min="4" max="4" width="15.77734375" style="30" customWidth="1"/>
    <col min="5" max="5" width="10.77734375" style="30" customWidth="1"/>
    <col min="6" max="6" width="15.77734375" style="30" customWidth="1"/>
    <col min="7" max="7" width="12.77734375" style="30" customWidth="1"/>
    <col min="8" max="8" width="10.77734375" style="30" customWidth="1"/>
    <col min="9" max="9" width="3.6640625" style="30" customWidth="1"/>
    <col min="10" max="10" width="12.44140625" style="30" customWidth="1"/>
    <col min="11" max="11" width="12.33203125" style="30" customWidth="1"/>
    <col min="12" max="12" width="10.5546875" style="30" customWidth="1"/>
    <col min="13" max="13" width="12.109375" style="30" customWidth="1"/>
    <col min="14" max="16" width="8.88671875" style="30"/>
    <col min="17" max="17" width="15.77734375" style="30" bestFit="1" customWidth="1"/>
    <col min="18" max="16384" width="8.88671875" style="30"/>
  </cols>
  <sheetData>
    <row r="1" spans="1:9" x14ac:dyDescent="0.2">
      <c r="A1" s="705" t="s">
        <v>422</v>
      </c>
      <c r="B1" s="705"/>
      <c r="C1" s="705"/>
      <c r="D1" s="705"/>
      <c r="E1" s="705"/>
      <c r="F1" s="705"/>
      <c r="G1" s="705"/>
      <c r="H1" s="705"/>
      <c r="I1" s="32"/>
    </row>
    <row r="2" spans="1:9" ht="18" customHeight="1" x14ac:dyDescent="0.2">
      <c r="A2" s="33"/>
      <c r="B2" s="33"/>
      <c r="C2" s="33"/>
      <c r="D2" s="33"/>
      <c r="E2" s="33"/>
      <c r="F2" s="33"/>
      <c r="G2" s="33"/>
      <c r="H2" s="33">
        <f>inputPrYr!$C$6</f>
        <v>2026</v>
      </c>
    </row>
    <row r="3" spans="1:9" ht="18" customHeight="1" x14ac:dyDescent="0.2">
      <c r="A3" s="633" t="s">
        <v>395</v>
      </c>
      <c r="B3" s="633"/>
      <c r="C3" s="633"/>
      <c r="D3" s="633"/>
      <c r="E3" s="633"/>
      <c r="F3" s="633"/>
      <c r="G3" s="633"/>
      <c r="H3" s="633"/>
    </row>
    <row r="4" spans="1:9" x14ac:dyDescent="0.2">
      <c r="A4" s="595" t="str">
        <f>inputPrYr!D3</f>
        <v>City of Concordia</v>
      </c>
      <c r="B4" s="595"/>
      <c r="C4" s="595"/>
      <c r="D4" s="595"/>
      <c r="E4" s="595"/>
      <c r="F4" s="595"/>
      <c r="G4" s="595"/>
      <c r="H4" s="595"/>
    </row>
    <row r="5" spans="1:9" ht="18" customHeight="1" x14ac:dyDescent="0.2">
      <c r="A5" s="706" t="str">
        <f>CONCATENATE("will meet on ",inputHearing!B32," at ",inputHearing!B34," at ",inputHearing!B36," for the purpose of hearing and")</f>
        <v>will meet on September 3, 2025 at 5:30 p.m. at Commission Chambers of City Hall for the purpose of hearing and</v>
      </c>
      <c r="B5" s="706"/>
      <c r="C5" s="706"/>
      <c r="D5" s="706"/>
      <c r="E5" s="706"/>
      <c r="F5" s="706"/>
      <c r="G5" s="706"/>
      <c r="H5" s="706"/>
    </row>
    <row r="6" spans="1:9" ht="16.5" customHeight="1" x14ac:dyDescent="0.2">
      <c r="A6" s="633" t="s">
        <v>423</v>
      </c>
      <c r="B6" s="633"/>
      <c r="C6" s="633"/>
      <c r="D6" s="633"/>
      <c r="E6" s="633"/>
      <c r="F6" s="633"/>
      <c r="G6" s="633"/>
      <c r="H6" s="633"/>
    </row>
    <row r="7" spans="1:9" ht="16.5" customHeight="1" x14ac:dyDescent="0.2">
      <c r="A7" s="706" t="str">
        <f>CONCATENATE("Detailed budget information is available at ",inputHearing!B38," and will be available at this hearing.")</f>
        <v>Detailed budget information is available at City Hall, 701 Washington and will be available at this hearing.</v>
      </c>
      <c r="B7" s="706"/>
      <c r="C7" s="706"/>
      <c r="D7" s="706"/>
      <c r="E7" s="706"/>
      <c r="F7" s="706"/>
      <c r="G7" s="706"/>
      <c r="H7" s="706"/>
    </row>
    <row r="8" spans="1:9" x14ac:dyDescent="0.2">
      <c r="A8" s="34" t="s">
        <v>396</v>
      </c>
      <c r="B8" s="35"/>
      <c r="C8" s="35"/>
      <c r="D8" s="35"/>
      <c r="E8" s="35"/>
      <c r="F8" s="35"/>
      <c r="G8" s="35"/>
      <c r="H8" s="35"/>
    </row>
    <row r="9" spans="1:9" x14ac:dyDescent="0.2">
      <c r="A9" s="36" t="str">
        <f>CONCATENATE("Proposed Budget ",H2," Expenditures and Amount of ",H2-1," Ad Valorem Tax establish the maximum limits of the ",H2," budget.")</f>
        <v>Proposed Budget 2026 Expenditures and Amount of 2025 Ad Valorem Tax establish the maximum limits of the 2026 budget.</v>
      </c>
      <c r="B9" s="35"/>
      <c r="C9" s="35"/>
      <c r="D9" s="35"/>
      <c r="E9" s="35"/>
      <c r="F9" s="35"/>
      <c r="G9" s="35"/>
      <c r="H9" s="35"/>
    </row>
    <row r="10" spans="1:9" x14ac:dyDescent="0.2">
      <c r="A10" s="36" t="s">
        <v>397</v>
      </c>
      <c r="B10" s="35"/>
      <c r="C10" s="35"/>
      <c r="D10" s="35"/>
      <c r="E10" s="35"/>
      <c r="F10" s="35"/>
      <c r="G10" s="35"/>
      <c r="H10" s="35"/>
    </row>
    <row r="11" spans="1:9" x14ac:dyDescent="0.2">
      <c r="A11" s="33"/>
      <c r="B11" s="37"/>
      <c r="C11" s="37"/>
      <c r="D11" s="37"/>
      <c r="E11" s="37"/>
      <c r="F11" s="37"/>
      <c r="G11" s="37"/>
      <c r="H11" s="37"/>
    </row>
    <row r="12" spans="1:9" x14ac:dyDescent="0.2">
      <c r="A12" s="33"/>
      <c r="B12" s="38" t="str">
        <f>CONCATENATE("Prior Year Actual for ",H2-2,"")</f>
        <v>Prior Year Actual for 2024</v>
      </c>
      <c r="C12" s="39"/>
      <c r="D12" s="38" t="str">
        <f>CONCATENATE("Current Year Estimate for ",H2-1,"")</f>
        <v>Current Year Estimate for 2025</v>
      </c>
      <c r="E12" s="39"/>
      <c r="F12" s="40" t="str">
        <f>CONCATENATE("Proposed Budget for ",H2,"")</f>
        <v>Proposed Budget for 2026</v>
      </c>
      <c r="G12" s="41"/>
      <c r="H12" s="39"/>
    </row>
    <row r="13" spans="1:9" ht="30" customHeight="1" x14ac:dyDescent="0.25">
      <c r="A13" s="33"/>
      <c r="B13" s="42"/>
      <c r="C13" s="43" t="s">
        <v>214</v>
      </c>
      <c r="D13" s="43"/>
      <c r="E13" s="43" t="s">
        <v>214</v>
      </c>
      <c r="F13" s="310" t="s">
        <v>136</v>
      </c>
      <c r="G13" s="43" t="str">
        <f>CONCATENATE("Amount of ",H2-1,"")</f>
        <v>Amount of 2025</v>
      </c>
      <c r="H13" s="629" t="s">
        <v>398</v>
      </c>
    </row>
    <row r="14" spans="1:9" x14ac:dyDescent="0.25">
      <c r="A14" s="44" t="s">
        <v>399</v>
      </c>
      <c r="B14" s="45" t="s">
        <v>400</v>
      </c>
      <c r="C14" s="45" t="s">
        <v>401</v>
      </c>
      <c r="D14" s="45" t="s">
        <v>400</v>
      </c>
      <c r="E14" s="45" t="s">
        <v>401</v>
      </c>
      <c r="F14" s="311" t="s">
        <v>171</v>
      </c>
      <c r="G14" s="46" t="s">
        <v>326</v>
      </c>
      <c r="H14" s="631"/>
    </row>
    <row r="15" spans="1:9" x14ac:dyDescent="0.2">
      <c r="A15" s="47" t="str">
        <f>inputPrYr!B17</f>
        <v>General</v>
      </c>
      <c r="B15" s="47">
        <f>IF(General!$C$102&lt;&gt;0,General!$C$102,"  ")</f>
        <v>5892005</v>
      </c>
      <c r="C15" s="48">
        <f>IF(inputPrYr!D80&gt;0,inputPrYr!D80,"  ")</f>
        <v>34.628</v>
      </c>
      <c r="D15" s="47">
        <f>IF(General!$D$102&lt;&gt;0,General!$D$102,"  ")</f>
        <v>5599333</v>
      </c>
      <c r="E15" s="48">
        <f>IF(inputOth!D25&gt;0,inputOth!D25,"  ")</f>
        <v>36.374000000000002</v>
      </c>
      <c r="F15" s="47">
        <f>IF(General!$E$102&lt;&gt;0,General!$E$102,"  ")</f>
        <v>6762116</v>
      </c>
      <c r="G15" s="47">
        <f>IF(General!$E$109&lt;&gt;0,General!$E$109,"  ")</f>
        <v>1369200</v>
      </c>
      <c r="H15" s="48">
        <f>IF(General!E109&gt;0,ROUND(G15/$F$44*1000,3),"  ")</f>
        <v>36.228000000000002</v>
      </c>
    </row>
    <row r="16" spans="1:9" x14ac:dyDescent="0.2">
      <c r="A16" s="47" t="str">
        <f>inputPrYr!B18</f>
        <v>Debt Service</v>
      </c>
      <c r="B16" s="47">
        <f>IF('DebtSvs-Library'!C41&lt;&gt;0,'DebtSvs-Library'!C41,"  ")</f>
        <v>580404</v>
      </c>
      <c r="C16" s="48">
        <f>IF(inputPrYr!D81&gt;0,inputPrYr!D81,"  ")</f>
        <v>5.9089999999999998</v>
      </c>
      <c r="D16" s="47">
        <f>IF('DebtSvs-Library'!D41&lt;&gt;0,'DebtSvs-Library'!D41,"  ")</f>
        <v>592725</v>
      </c>
      <c r="E16" s="48">
        <f>IF(inputOth!D26&gt;0,inputOth!D26,"  ")</f>
        <v>4.4770000000000003</v>
      </c>
      <c r="F16" s="47">
        <f>IF('DebtSvs-Library'!E41&lt;&gt;0,'DebtSvs-Library'!E41,"  ")</f>
        <v>874763</v>
      </c>
      <c r="G16" s="47">
        <f>IF('DebtSvs-Library'!E48&lt;&gt;0,'DebtSvs-Library'!E48,"  ")</f>
        <v>170371</v>
      </c>
      <c r="H16" s="48">
        <f>IF('DebtSvs-Library'!E48&gt;0,ROUND(G16/$F$44*1000,3),"  ")</f>
        <v>4.508</v>
      </c>
    </row>
    <row r="17" spans="1:13" x14ac:dyDescent="0.2">
      <c r="A17" s="47" t="str">
        <f>IF(inputPrYr!$B19&gt;"  ",(inputPrYr!$B19),"  ")</f>
        <v>Library</v>
      </c>
      <c r="B17" s="47">
        <f>IF('DebtSvs-Library'!C76&lt;&gt;0,'DebtSvs-Library'!C76,"  ")</f>
        <v>192202</v>
      </c>
      <c r="C17" s="48">
        <f>IF(inputPrYr!D82&gt;0,inputPrYr!D82,"  ")</f>
        <v>5.085</v>
      </c>
      <c r="D17" s="47">
        <f>IF('DebtSvs-Library'!D76&lt;&gt;0,'DebtSvs-Library'!D76,"  ")</f>
        <v>194210</v>
      </c>
      <c r="E17" s="48">
        <f>IF(inputOth!D27&gt;0,inputOth!D27,"  ")</f>
        <v>4.9009999999999998</v>
      </c>
      <c r="F17" s="47">
        <f>IF('DebtSvs-Library'!E76&lt;&gt;0,'DebtSvs-Library'!E76,"  ")</f>
        <v>203476</v>
      </c>
      <c r="G17" s="47">
        <f>IF('DebtSvs-Library'!E83&lt;&gt;0,'DebtSvs-Library'!E83,"  ")</f>
        <v>183497</v>
      </c>
      <c r="H17" s="48">
        <f>IF('DebtSvs-Library'!E83&lt;&gt;0,ROUND(G17/$F$44*1000,3),"  ")</f>
        <v>4.8550000000000004</v>
      </c>
    </row>
    <row r="18" spans="1:13" x14ac:dyDescent="0.2">
      <c r="A18" s="47" t="str">
        <f>IF(inputPrYr!$B21&gt;"  ",(inputPrYr!$B21),"  ")</f>
        <v>Library Employee Benefit</v>
      </c>
      <c r="B18" s="47">
        <f>IF('Lib Ben-Ec Dev'!$C$30&gt;0,'Lib Ben-Ec Dev'!$C$30,"  ")</f>
        <v>68437</v>
      </c>
      <c r="C18" s="48">
        <f>IF(inputPrYr!D83&gt;0,inputPrYr!D83,"  ")</f>
        <v>1.829</v>
      </c>
      <c r="D18" s="47">
        <f>IF('Lib Ben-Ec Dev'!$D$30&gt;0,'Lib Ben-Ec Dev'!$D$30,"  ")</f>
        <v>71894</v>
      </c>
      <c r="E18" s="48">
        <f>IF(inputOth!D28&gt;0,inputOth!D28,"  ")</f>
        <v>1.8120000000000001</v>
      </c>
      <c r="F18" s="47">
        <f>IF('Lib Ben-Ec Dev'!$E$30&gt;0,'Lib Ben-Ec Dev'!$E$30,"  ")</f>
        <v>68206</v>
      </c>
      <c r="G18" s="47">
        <f>IF('Lib Ben-Ec Dev'!$E$37&lt;&gt;0,'Lib Ben-Ec Dev'!$E$37,"  ")</f>
        <v>61055</v>
      </c>
      <c r="H18" s="48">
        <f>IF('Lib Ben-Ec Dev'!E37&lt;&gt;0,ROUND(G18/$F$44*1000,3),"  ")</f>
        <v>1.615</v>
      </c>
    </row>
    <row r="19" spans="1:13" x14ac:dyDescent="0.2">
      <c r="A19" s="47" t="str">
        <f>IF(inputPrYr!$B22&gt;"  ",(inputPrYr!$B22),"  ")</f>
        <v>Economic Development</v>
      </c>
      <c r="B19" s="47">
        <f>IF('Lib Ben-Ec Dev'!$C$68&gt;0,'Lib Ben-Ec Dev'!$C$68,"  ")</f>
        <v>58000</v>
      </c>
      <c r="C19" s="48">
        <f>IF(inputPrYr!D84&gt;0,inputPrYr!D84,"  ")</f>
        <v>1.351</v>
      </c>
      <c r="D19" s="47">
        <f>IF('Lib Ben-Ec Dev'!$D$68&gt;0,'Lib Ben-Ec Dev'!$D$68,"  ")</f>
        <v>58000</v>
      </c>
      <c r="E19" s="48">
        <f>IF(inputOth!D29&gt;0,inputOth!D29,"  ")</f>
        <v>1.2210000000000001</v>
      </c>
      <c r="F19" s="47">
        <f>IF('Lib Ben-Ec Dev'!$E$68&gt;0,'Lib Ben-Ec Dev'!$E$68,"  ")</f>
        <v>75000</v>
      </c>
      <c r="G19" s="47">
        <f>IF('Lib Ben-Ec Dev'!$E$75&lt;&gt;0,'Lib Ben-Ec Dev'!$E$75,"  ")</f>
        <v>59685</v>
      </c>
      <c r="H19" s="48">
        <f>IF('Lib Ben-Ec Dev'!E75&lt;&gt;0,ROUND(G19/$F$44*1000,3),"  ")</f>
        <v>1.579</v>
      </c>
    </row>
    <row r="20" spans="1:13" x14ac:dyDescent="0.2">
      <c r="A20" s="47" t="str">
        <f>IF(inputPrYr!$B23&gt;"  ",(inputPrYr!$B23),"  ")</f>
        <v xml:space="preserve">  </v>
      </c>
      <c r="B20" s="47"/>
      <c r="C20" s="48"/>
      <c r="D20" s="47"/>
      <c r="E20" s="48"/>
      <c r="F20" s="47"/>
      <c r="G20" s="47"/>
      <c r="H20" s="48"/>
    </row>
    <row r="21" spans="1:13" x14ac:dyDescent="0.2">
      <c r="A21" s="47" t="str">
        <f>IF(inputPrYr!$B30&gt;"  ",(inputPrYr!$B30),"  ")</f>
        <v xml:space="preserve">  </v>
      </c>
      <c r="B21" s="47"/>
      <c r="C21" s="48"/>
      <c r="D21" s="47"/>
      <c r="E21" s="48"/>
      <c r="F21" s="47"/>
      <c r="G21" s="47"/>
      <c r="H21" s="48"/>
    </row>
    <row r="22" spans="1:13" x14ac:dyDescent="0.2">
      <c r="A22" s="47" t="str">
        <f>IF(inputPrYr!$B34&gt;"  ",(inputPrYr!$B34),"  ")</f>
        <v>Special Highway</v>
      </c>
      <c r="B22" s="47">
        <f>IF('Spec Hwy-RHID'!$C$25&gt;0,'Spec Hwy-RHID'!$C$25,"  ")</f>
        <v>158446</v>
      </c>
      <c r="C22" s="49"/>
      <c r="D22" s="47">
        <f>IF('Spec Hwy-RHID'!$D$25&gt;0,'Spec Hwy-RHID'!$D$25,"  ")</f>
        <v>89000</v>
      </c>
      <c r="E22" s="49"/>
      <c r="F22" s="47">
        <f>IF('Spec Hwy-RHID'!$E$25&gt;0,'Spec Hwy-RHID'!$E$25,"  ")</f>
        <v>396430</v>
      </c>
      <c r="G22" s="47"/>
      <c r="H22" s="48"/>
    </row>
    <row r="23" spans="1:13" x14ac:dyDescent="0.2">
      <c r="A23" s="47" t="str">
        <f>IF(inputPrYr!$B35&gt;"  ",(inputPrYr!$B35),"  ")</f>
        <v>RHID</v>
      </c>
      <c r="B23" s="47" t="str">
        <f>IF('Spec Hwy-RHID'!$C$52&gt;0,'Spec Hwy-RHID'!$C$52,"  ")</f>
        <v xml:space="preserve">  </v>
      </c>
      <c r="C23" s="49"/>
      <c r="D23" s="47" t="str">
        <f>IF('Spec Hwy-RHID'!$D$52&gt;0,'Spec Hwy-RHID'!$D$52,"  ")</f>
        <v xml:space="preserve">  </v>
      </c>
      <c r="E23" s="49"/>
      <c r="F23" s="47">
        <f>IF('Spec Hwy-RHID'!$E$52&gt;0,'Spec Hwy-RHID'!$E$52,"  ")</f>
        <v>3418</v>
      </c>
      <c r="G23" s="47"/>
      <c r="H23" s="48"/>
    </row>
    <row r="24" spans="1:13" x14ac:dyDescent="0.2">
      <c r="A24" s="47" t="str">
        <f>IF(inputPrYr!$B36&gt;"  ",(inputPrYr!$B36),"  ")</f>
        <v>Special Parks &amp; Rec</v>
      </c>
      <c r="B24" s="47" t="str">
        <f>IF('Spec Parks-911 PSAP'!$C$24&gt;0,'Spec Parks-911 PSAP'!$C$24,"  ")</f>
        <v xml:space="preserve">  </v>
      </c>
      <c r="C24" s="49"/>
      <c r="D24" s="47">
        <f>IF('Spec Parks-911 PSAP'!$D$24&gt;0,'Spec Parks-911 PSAP'!$D$24,"  ")</f>
        <v>30000</v>
      </c>
      <c r="E24" s="49"/>
      <c r="F24" s="47">
        <f>IF('Spec Parks-911 PSAP'!$E$24&gt;0,'Spec Parks-911 PSAP'!$E$24,"  ")</f>
        <v>55176</v>
      </c>
      <c r="G24" s="47"/>
      <c r="H24" s="48"/>
    </row>
    <row r="25" spans="1:13" x14ac:dyDescent="0.2">
      <c r="A25" s="47" t="str">
        <f>IF(inputPrYr!$B37&gt;"  ",(inputPrYr!$B37),"  ")</f>
        <v>911 PSAP</v>
      </c>
      <c r="B25" s="47">
        <f>IF('Spec Parks-911 PSAP'!$C$51&gt;0,'Spec Parks-911 PSAP'!$C$51,"  ")</f>
        <v>62426</v>
      </c>
      <c r="C25" s="49"/>
      <c r="D25" s="47">
        <f>IF('Spec Parks-911 PSAP'!$D$51&gt;0,'Spec Parks-911 PSAP'!$D$51,"  ")</f>
        <v>62000</v>
      </c>
      <c r="E25" s="49"/>
      <c r="F25" s="47">
        <f>IF('Spec Parks-911 PSAP'!$E$51&gt;0,'Spec Parks-911 PSAP'!$E$51,"  ")</f>
        <v>122379</v>
      </c>
      <c r="G25" s="47"/>
      <c r="H25" s="48"/>
    </row>
    <row r="26" spans="1:13" x14ac:dyDescent="0.25">
      <c r="A26" s="47" t="str">
        <f>IF(inputPrYr!$B41&gt;"  ",(inputPrYr!$B41),"  ")</f>
        <v xml:space="preserve">  </v>
      </c>
      <c r="B26" s="47"/>
      <c r="C26" s="49"/>
      <c r="D26" s="47"/>
      <c r="E26" s="49"/>
      <c r="F26" s="47"/>
      <c r="G26" s="49"/>
      <c r="H26" s="49"/>
      <c r="J26" s="702" t="str">
        <f>CONCATENATE("Estimated Value Of One Mill For ",H2,"")</f>
        <v>Estimated Value Of One Mill For 2026</v>
      </c>
      <c r="K26" s="707"/>
      <c r="L26" s="707"/>
      <c r="M26" s="708"/>
    </row>
    <row r="27" spans="1:13" x14ac:dyDescent="0.25">
      <c r="A27" s="47" t="str">
        <f>IF(inputPrYr!$B42&gt;"  ",(inputPrYr!$B42),"  ")</f>
        <v xml:space="preserve">  </v>
      </c>
      <c r="B27" s="47"/>
      <c r="C27" s="49"/>
      <c r="D27" s="47"/>
      <c r="E27" s="49"/>
      <c r="F27" s="47"/>
      <c r="G27" s="49"/>
      <c r="H27" s="49"/>
      <c r="J27" s="286"/>
      <c r="K27" s="285"/>
      <c r="L27" s="285"/>
      <c r="M27" s="284"/>
    </row>
    <row r="28" spans="1:13" x14ac:dyDescent="0.25">
      <c r="A28" s="47" t="str">
        <f>IF(inputPrYr!$B43&gt;"  ",(inputPrYr!$B43),"  ")</f>
        <v xml:space="preserve">  </v>
      </c>
      <c r="B28" s="47"/>
      <c r="C28" s="49"/>
      <c r="D28" s="47"/>
      <c r="E28" s="49"/>
      <c r="F28" s="47"/>
      <c r="G28" s="49"/>
      <c r="H28" s="49"/>
      <c r="J28" s="283" t="s">
        <v>402</v>
      </c>
      <c r="K28" s="282"/>
      <c r="L28" s="282"/>
      <c r="M28" s="466">
        <f>ROUND(F44/1000,0)</f>
        <v>37794</v>
      </c>
    </row>
    <row r="29" spans="1:13" x14ac:dyDescent="0.25">
      <c r="A29" s="47" t="str">
        <f>IF(inputPrYr!$B45&gt;"  ",(inputPrYr!$B45),"  ")</f>
        <v xml:space="preserve">  </v>
      </c>
      <c r="B29" s="47"/>
      <c r="C29" s="49"/>
      <c r="D29" s="47"/>
      <c r="E29" s="49"/>
      <c r="F29" s="47"/>
      <c r="G29" s="49"/>
      <c r="H29" s="49"/>
      <c r="J29" s="702" t="str">
        <f>CONCATENATE("Want The Mill Rate The Same As For ",H2-1,"?")</f>
        <v>Want The Mill Rate The Same As For 2025?</v>
      </c>
      <c r="K29" s="707"/>
      <c r="L29" s="707"/>
      <c r="M29" s="708"/>
    </row>
    <row r="30" spans="1:13" x14ac:dyDescent="0.25">
      <c r="A30" s="47" t="str">
        <f>IF(inputPrYr!$B47&gt;"  ",(inputPrYr!$B47),"  ")</f>
        <v>Water &amp; Sewer Utility</v>
      </c>
      <c r="B30" s="47">
        <f>IF(WATER!$C$41&gt;0,WATER!$C$41,"  ")</f>
        <v>1718370</v>
      </c>
      <c r="C30" s="49"/>
      <c r="D30" s="47">
        <f>IF(WATER!$D$41&gt;0,WATER!$D$41,"  ")</f>
        <v>1748324</v>
      </c>
      <c r="E30" s="49"/>
      <c r="F30" s="47">
        <f>IF(WATER!$E$41&gt;0,WATER!$E$41,"  ")</f>
        <v>2879337</v>
      </c>
      <c r="G30" s="49"/>
      <c r="H30" s="49"/>
      <c r="J30" s="280"/>
      <c r="K30" s="285"/>
      <c r="L30" s="285"/>
      <c r="M30" s="279"/>
    </row>
    <row r="31" spans="1:13" x14ac:dyDescent="0.25">
      <c r="A31" s="47" t="str">
        <f>IF(inputPrYr!$B48&gt;"  ",(inputPrYr!$B48),"  ")</f>
        <v>Gas Utility</v>
      </c>
      <c r="B31" s="47" t="str">
        <f>IF(Gas!$C$34&gt;0,Gas!$C$34,"  ")</f>
        <v xml:space="preserve">  </v>
      </c>
      <c r="C31" s="49"/>
      <c r="D31" s="47">
        <f>IF(Gas!$D$34&gt;0,Gas!$D$34,"  ")</f>
        <v>41402</v>
      </c>
      <c r="E31" s="49"/>
      <c r="F31" s="47" t="str">
        <f>IF(Gas!$E$34&gt;0,Gas!$E$34,"  ")</f>
        <v xml:space="preserve">  </v>
      </c>
      <c r="G31" s="49"/>
      <c r="H31" s="49"/>
      <c r="J31" s="280" t="str">
        <f>CONCATENATE("",H2-1," Mill Rate Was:")</f>
        <v>2025 Mill Rate Was:</v>
      </c>
      <c r="K31" s="285"/>
      <c r="L31" s="285"/>
      <c r="M31" s="278">
        <f>E38</f>
        <v>48.784999999999997</v>
      </c>
    </row>
    <row r="32" spans="1:13" x14ac:dyDescent="0.25">
      <c r="A32" s="47" t="str">
        <f>IF(inputPrYr!$B49&gt;"  ",(inputPrYr!$B49),"  ")</f>
        <v xml:space="preserve">  </v>
      </c>
      <c r="B32" s="47"/>
      <c r="C32" s="49"/>
      <c r="D32" s="47"/>
      <c r="E32" s="49"/>
      <c r="F32" s="47"/>
      <c r="G32" s="49"/>
      <c r="H32" s="49"/>
      <c r="J32" s="277" t="s">
        <v>403</v>
      </c>
      <c r="K32" s="276"/>
      <c r="L32" s="276"/>
      <c r="M32" s="279"/>
    </row>
    <row r="33" spans="1:17" x14ac:dyDescent="0.25">
      <c r="A33" s="47" t="str">
        <f>IF(inputPrYr!$B50&gt;"  ",(inputPrYr!$B50),"  ")</f>
        <v xml:space="preserve">  </v>
      </c>
      <c r="B33" s="47"/>
      <c r="C33" s="49"/>
      <c r="D33" s="47"/>
      <c r="E33" s="49"/>
      <c r="F33" s="47"/>
      <c r="G33" s="49"/>
      <c r="H33" s="49"/>
      <c r="J33" s="277" t="str">
        <f>IF(M33&gt;0,"Increased By:","")</f>
        <v/>
      </c>
      <c r="K33" s="276"/>
      <c r="L33" s="276"/>
      <c r="M33" s="315">
        <f>IF(M40&lt;0,M40*-1,0)</f>
        <v>0</v>
      </c>
    </row>
    <row r="34" spans="1:17" x14ac:dyDescent="0.2">
      <c r="A34" s="47" t="str">
        <f>IF(inputPrYr!$B53&gt;"  ",(NonBudA!$A3),"  ")</f>
        <v>Non-Budgeted Funds-A</v>
      </c>
      <c r="B34" s="47">
        <f>IF(NonBudA!$K$28&gt;0,NonBudA!$K$28,"  ")</f>
        <v>2260496</v>
      </c>
      <c r="C34" s="49"/>
      <c r="D34" s="47"/>
      <c r="E34" s="49"/>
      <c r="F34" s="47"/>
      <c r="G34" s="49"/>
      <c r="H34" s="49"/>
      <c r="J34" s="316" t="str">
        <f>IF(M34&lt;0,"Reduced By:","")</f>
        <v>Reduced By:</v>
      </c>
      <c r="K34" s="317"/>
      <c r="L34" s="317"/>
      <c r="M34" s="318">
        <f>IF(M40&gt;0,M40*-1,0)</f>
        <v>-101988</v>
      </c>
    </row>
    <row r="35" spans="1:17" x14ac:dyDescent="0.25">
      <c r="A35" s="47" t="str">
        <f>IF(inputPrYr!$B59&gt;"  ",(NonBudB!$A3),"  ")</f>
        <v>Non-Budgeted Funds-B</v>
      </c>
      <c r="B35" s="47">
        <f>IF(NonBudB!$K$28&gt;0,NonBudB!$K$28,"  ")</f>
        <v>1778808</v>
      </c>
      <c r="C35" s="49"/>
      <c r="D35" s="47"/>
      <c r="E35" s="49"/>
      <c r="F35" s="47"/>
      <c r="G35" s="49"/>
      <c r="H35" s="49"/>
      <c r="J35" s="273"/>
      <c r="K35" s="273"/>
      <c r="L35" s="273"/>
      <c r="M35" s="273"/>
    </row>
    <row r="36" spans="1:17" x14ac:dyDescent="0.25">
      <c r="A36" s="47" t="str">
        <f>IF(inputPrYr!$B65&gt;"  ",(NonBudC!$A3),"  ")</f>
        <v>Non-Budgeted Funds-C</v>
      </c>
      <c r="B36" s="47">
        <f>IF(NonBudC!$K$28&gt;0,NonBudC!$K$28,"  ")</f>
        <v>1588967</v>
      </c>
      <c r="C36" s="49"/>
      <c r="D36" s="47"/>
      <c r="E36" s="49"/>
      <c r="F36" s="47"/>
      <c r="G36" s="49"/>
      <c r="H36" s="49"/>
      <c r="J36" s="702" t="str">
        <f>CONCATENATE("Impact On Keeping The Same Mill Rate As For ",H2-1,"")</f>
        <v>Impact On Keeping The Same Mill Rate As For 2025</v>
      </c>
      <c r="K36" s="709"/>
      <c r="L36" s="709"/>
      <c r="M36" s="710"/>
    </row>
    <row r="37" spans="1:17" ht="16.5" thickBot="1" x14ac:dyDescent="0.3">
      <c r="A37" s="47" t="str">
        <f>IF(inputPrYr!$B71&gt;"  ",(NonBudD!$A3),"  ")</f>
        <v>Non-Budgeted Funds-D</v>
      </c>
      <c r="B37" s="268">
        <f>IF(NonBudD!$K$28&gt;0,NonBudD!$K$28,"  ")</f>
        <v>1377898</v>
      </c>
      <c r="C37" s="269"/>
      <c r="D37" s="268"/>
      <c r="E37" s="269"/>
      <c r="F37" s="268"/>
      <c r="G37" s="269"/>
      <c r="H37" s="269"/>
      <c r="J37" s="280"/>
      <c r="K37" s="285"/>
      <c r="L37" s="285"/>
      <c r="M37" s="279"/>
    </row>
    <row r="38" spans="1:17" ht="16.5" thickBot="1" x14ac:dyDescent="0.3">
      <c r="A38" s="526" t="s">
        <v>178</v>
      </c>
      <c r="B38" s="527">
        <f>SUM(B15:B37)</f>
        <v>15736459</v>
      </c>
      <c r="C38" s="528">
        <f>SUM(C15:C20)</f>
        <v>48.802</v>
      </c>
      <c r="D38" s="527">
        <f>SUM(D15:D37)</f>
        <v>8486888</v>
      </c>
      <c r="E38" s="528">
        <f>SUM(E15:E20)</f>
        <v>48.784999999999997</v>
      </c>
      <c r="F38" s="527">
        <f>SUM(F15:F37)</f>
        <v>11440301</v>
      </c>
      <c r="G38" s="527">
        <f>SUM(G15:G37)</f>
        <v>1843808</v>
      </c>
      <c r="H38" s="528">
        <f>SUM(H15:H21)</f>
        <v>48.785000000000011</v>
      </c>
      <c r="J38" s="280" t="str">
        <f>CONCATENATE("",H2," Ad Valorem Tax Revenue:")</f>
        <v>2026 Ad Valorem Tax Revenue:</v>
      </c>
      <c r="K38" s="285"/>
      <c r="L38" s="285"/>
      <c r="M38" s="284">
        <f>G38</f>
        <v>1843808</v>
      </c>
    </row>
    <row r="39" spans="1:17" ht="16.5" thickTop="1" x14ac:dyDescent="0.25">
      <c r="A39" s="711" t="s">
        <v>404</v>
      </c>
      <c r="B39" s="712"/>
      <c r="C39" s="712"/>
      <c r="D39" s="712"/>
      <c r="E39" s="712"/>
      <c r="F39" s="712"/>
      <c r="G39" s="713"/>
      <c r="H39" s="525">
        <f>inputOth!D21</f>
        <v>46.088999999999999</v>
      </c>
      <c r="J39" s="280" t="str">
        <f>CONCATENATE("",H2-1," Ad Valorem Tax Revenue:")</f>
        <v>2025 Ad Valorem Tax Revenue:</v>
      </c>
      <c r="K39" s="285"/>
      <c r="L39" s="285"/>
      <c r="M39" s="272">
        <f>ROUND(D44*M31/1000,0)</f>
        <v>1741820</v>
      </c>
    </row>
    <row r="40" spans="1:17" x14ac:dyDescent="0.25">
      <c r="A40" s="557" t="s">
        <v>405</v>
      </c>
      <c r="B40" s="50">
        <f>Transfers!C28</f>
        <v>1323214</v>
      </c>
      <c r="C40" s="51"/>
      <c r="D40" s="50">
        <f>Transfers!D28</f>
        <v>771452</v>
      </c>
      <c r="E40" s="51"/>
      <c r="F40" s="50">
        <f>Transfers!E28</f>
        <v>956968</v>
      </c>
      <c r="G40" s="33"/>
      <c r="H40" s="33"/>
      <c r="J40" s="275" t="s">
        <v>406</v>
      </c>
      <c r="K40" s="274"/>
      <c r="L40" s="274"/>
      <c r="M40" s="281">
        <f>SUM(M38-M39)</f>
        <v>101988</v>
      </c>
      <c r="Q40" s="591"/>
    </row>
    <row r="41" spans="1:17" ht="16.5" thickBot="1" x14ac:dyDescent="0.3">
      <c r="A41" s="557" t="s">
        <v>407</v>
      </c>
      <c r="B41" s="52">
        <f>B38-B40</f>
        <v>14413245</v>
      </c>
      <c r="C41" s="33"/>
      <c r="D41" s="52">
        <f>D38-D40</f>
        <v>7715436</v>
      </c>
      <c r="E41" s="53"/>
      <c r="F41" s="52">
        <f>F38-F40</f>
        <v>10483333</v>
      </c>
      <c r="G41" s="33"/>
      <c r="H41" s="33"/>
      <c r="J41" s="273"/>
      <c r="K41" s="273"/>
      <c r="L41" s="273"/>
      <c r="M41" s="273"/>
    </row>
    <row r="42" spans="1:17" ht="16.5" thickTop="1" x14ac:dyDescent="0.25">
      <c r="A42" s="557" t="s">
        <v>408</v>
      </c>
      <c r="B42" s="50">
        <f>inputPrYr!E95</f>
        <v>1652054</v>
      </c>
      <c r="C42" s="33"/>
      <c r="D42" s="50">
        <f>inputPrYr!E31</f>
        <v>1741700</v>
      </c>
      <c r="E42" s="33"/>
      <c r="F42" s="54" t="s">
        <v>179</v>
      </c>
      <c r="G42" s="33"/>
      <c r="H42" s="33"/>
      <c r="J42" s="702" t="s">
        <v>409</v>
      </c>
      <c r="K42" s="703"/>
      <c r="L42" s="703"/>
      <c r="M42" s="704"/>
    </row>
    <row r="43" spans="1:17" x14ac:dyDescent="0.25">
      <c r="A43" s="557" t="s">
        <v>410</v>
      </c>
      <c r="B43" s="55"/>
      <c r="C43" s="33"/>
      <c r="D43" s="55"/>
      <c r="E43" s="33"/>
      <c r="F43" s="55"/>
      <c r="G43" s="33"/>
      <c r="H43" s="33"/>
      <c r="J43" s="523" t="s">
        <v>121</v>
      </c>
      <c r="K43" s="285"/>
      <c r="L43" s="285"/>
      <c r="M43" s="524">
        <f>H39</f>
        <v>46.088999999999999</v>
      </c>
    </row>
    <row r="44" spans="1:17" ht="13.5" customHeight="1" x14ac:dyDescent="0.25">
      <c r="A44" s="557" t="s">
        <v>411</v>
      </c>
      <c r="B44" s="50">
        <f>inputPrYr!E96</f>
        <v>33858026</v>
      </c>
      <c r="C44" s="33"/>
      <c r="D44" s="50">
        <f>inputOth!E40</f>
        <v>35704010</v>
      </c>
      <c r="E44" s="33"/>
      <c r="F44" s="50">
        <f>IF(inputOth!E19&gt;0,inputOth!E6-inputOth!E19+inputOth!E18,inputOth!E6)</f>
        <v>37794299</v>
      </c>
      <c r="G44" s="33"/>
      <c r="H44" s="33"/>
      <c r="J44" s="280" t="str">
        <f>CONCATENATE("Current ",H2," Estimated Mill Rate:")</f>
        <v>Current 2026 Estimated Mill Rate:</v>
      </c>
      <c r="K44" s="285"/>
      <c r="L44" s="285"/>
      <c r="M44" s="278">
        <f>H38</f>
        <v>48.785000000000011</v>
      </c>
    </row>
    <row r="45" spans="1:17" x14ac:dyDescent="0.25">
      <c r="A45" s="33"/>
      <c r="B45" s="33"/>
      <c r="C45" s="33"/>
      <c r="D45" s="33"/>
      <c r="E45" s="33"/>
      <c r="F45" s="33"/>
      <c r="G45" s="33"/>
      <c r="H45" s="33"/>
      <c r="J45" s="280" t="str">
        <f>CONCATENATE("Desired ",H2," Mill Rate:")</f>
        <v>Desired 2026 Mill Rate:</v>
      </c>
      <c r="K45" s="285"/>
      <c r="L45" s="285"/>
      <c r="M45" s="271">
        <v>0</v>
      </c>
    </row>
    <row r="46" spans="1:17" ht="18.75" customHeight="1" x14ac:dyDescent="0.25">
      <c r="A46" s="557" t="s">
        <v>412</v>
      </c>
      <c r="B46" s="33"/>
      <c r="C46" s="33"/>
      <c r="D46" s="33"/>
      <c r="E46" s="33"/>
      <c r="F46" s="33"/>
      <c r="G46" s="33"/>
      <c r="H46" s="33"/>
      <c r="J46" s="280" t="str">
        <f>CONCATENATE("",H2," Ad Valorem Tax:")</f>
        <v>2026 Ad Valorem Tax:</v>
      </c>
      <c r="K46" s="285"/>
      <c r="L46" s="285"/>
      <c r="M46" s="272">
        <f>ROUND(F44*M45/1000,0)</f>
        <v>0</v>
      </c>
    </row>
    <row r="47" spans="1:17" ht="18.75" customHeight="1" x14ac:dyDescent="0.25">
      <c r="A47" s="557" t="s">
        <v>413</v>
      </c>
      <c r="B47" s="56">
        <f>H2-3</f>
        <v>2023</v>
      </c>
      <c r="C47" s="33"/>
      <c r="D47" s="56">
        <f>H2-2</f>
        <v>2024</v>
      </c>
      <c r="E47" s="33"/>
      <c r="F47" s="56">
        <f>H2-1</f>
        <v>2025</v>
      </c>
      <c r="G47" s="33"/>
      <c r="H47" s="33"/>
      <c r="J47" s="275" t="str">
        <f>CONCATENATE("",H2," Tax Levy Fund Exp. Changed By:")</f>
        <v>2026 Tax Levy Fund Exp. Changed By:</v>
      </c>
      <c r="K47" s="274"/>
      <c r="L47" s="274"/>
      <c r="M47" s="281">
        <f>IF(M45=0,0,(M46-G38))</f>
        <v>0</v>
      </c>
    </row>
    <row r="48" spans="1:17" ht="18.75" customHeight="1" x14ac:dyDescent="0.2">
      <c r="A48" s="557" t="s">
        <v>414</v>
      </c>
      <c r="B48" s="57">
        <f>inputPrYr!D100</f>
        <v>6465000</v>
      </c>
      <c r="C48" s="559"/>
      <c r="D48" s="57">
        <f>inputPrYr!E100</f>
        <v>6095000</v>
      </c>
      <c r="E48" s="559"/>
      <c r="F48" s="57">
        <f>Debt!G19</f>
        <v>5715000</v>
      </c>
      <c r="G48" s="33"/>
      <c r="H48" s="33"/>
    </row>
    <row r="49" spans="1:13" ht="18.75" customHeight="1" x14ac:dyDescent="0.2">
      <c r="A49" s="557" t="s">
        <v>415</v>
      </c>
      <c r="B49" s="57">
        <f>inputPrYr!D101</f>
        <v>0</v>
      </c>
      <c r="C49" s="559"/>
      <c r="D49" s="57">
        <f>inputPrYr!E101</f>
        <v>0</v>
      </c>
      <c r="E49" s="559"/>
      <c r="F49" s="58">
        <f>Debt!G29</f>
        <v>0</v>
      </c>
      <c r="G49" s="33"/>
      <c r="H49" s="33"/>
      <c r="J49" s="693" t="s">
        <v>416</v>
      </c>
      <c r="K49" s="694"/>
      <c r="L49" s="694"/>
      <c r="M49" s="697" t="str">
        <f>IF(M44&gt;M43, "Yes", "No")</f>
        <v>Yes</v>
      </c>
    </row>
    <row r="50" spans="1:13" ht="18" customHeight="1" x14ac:dyDescent="0.2">
      <c r="A50" s="33" t="s">
        <v>417</v>
      </c>
      <c r="B50" s="57">
        <f>inputPrYr!D102</f>
        <v>0</v>
      </c>
      <c r="C50" s="559"/>
      <c r="D50" s="57">
        <f>inputPrYr!E102</f>
        <v>1340000</v>
      </c>
      <c r="E50" s="559"/>
      <c r="F50" s="58">
        <f>Debt!G39</f>
        <v>1340000</v>
      </c>
      <c r="G50" s="33"/>
      <c r="H50" s="33"/>
      <c r="J50" s="695"/>
      <c r="K50" s="696"/>
      <c r="L50" s="696"/>
      <c r="M50" s="698"/>
    </row>
    <row r="51" spans="1:13" ht="19.5" customHeight="1" x14ac:dyDescent="0.2">
      <c r="A51" s="557" t="s">
        <v>418</v>
      </c>
      <c r="B51" s="57">
        <f>inputPrYr!D103</f>
        <v>8979</v>
      </c>
      <c r="C51" s="559"/>
      <c r="D51" s="57">
        <f>inputPrYr!E103</f>
        <v>6104</v>
      </c>
      <c r="E51" s="559"/>
      <c r="F51" s="58">
        <f>'LP Form'!G28</f>
        <v>46721</v>
      </c>
      <c r="G51" s="33"/>
      <c r="H51" s="33"/>
      <c r="J51" s="657" t="str">
        <f>IF(M49="Yes", "Follow procedure prescirbed by KSA 79-2988 to exceed the Revenue Neutral Rate.", " ")</f>
        <v>Follow procedure prescirbed by KSA 79-2988 to exceed the Revenue Neutral Rate.</v>
      </c>
      <c r="K51" s="657"/>
      <c r="L51" s="657"/>
      <c r="M51" s="657"/>
    </row>
    <row r="52" spans="1:13" ht="18.75" customHeight="1" thickBot="1" x14ac:dyDescent="0.25">
      <c r="A52" s="557" t="s">
        <v>419</v>
      </c>
      <c r="B52" s="59">
        <f>SUM(B48:B51)</f>
        <v>6473979</v>
      </c>
      <c r="C52" s="559"/>
      <c r="D52" s="59">
        <f>SUM(D48:D51)</f>
        <v>7441104</v>
      </c>
      <c r="E52" s="559"/>
      <c r="F52" s="59">
        <f>SUM(F48:F51)</f>
        <v>7101721</v>
      </c>
      <c r="G52" s="33"/>
      <c r="H52" s="33"/>
      <c r="J52" s="658"/>
      <c r="K52" s="658"/>
      <c r="L52" s="658"/>
      <c r="M52" s="658"/>
    </row>
    <row r="53" spans="1:13" ht="16.5" thickTop="1" x14ac:dyDescent="0.2">
      <c r="A53" s="557" t="s">
        <v>420</v>
      </c>
      <c r="B53" s="33"/>
      <c r="C53" s="33"/>
      <c r="D53" s="33"/>
      <c r="E53" s="33"/>
      <c r="F53" s="33"/>
      <c r="G53" s="33"/>
      <c r="H53" s="33"/>
      <c r="J53" s="658"/>
      <c r="K53" s="658"/>
      <c r="L53" s="658"/>
      <c r="M53" s="658"/>
    </row>
    <row r="54" spans="1:13" x14ac:dyDescent="0.2">
      <c r="A54" s="557" t="s">
        <v>421</v>
      </c>
      <c r="B54" s="33"/>
      <c r="C54" s="33"/>
      <c r="D54" s="33"/>
      <c r="E54" s="33"/>
      <c r="F54" s="33"/>
      <c r="G54" s="33"/>
      <c r="H54" s="33"/>
    </row>
    <row r="55" spans="1:13" x14ac:dyDescent="0.2">
      <c r="A55" s="33"/>
      <c r="B55" s="33"/>
      <c r="C55" s="33"/>
      <c r="D55" s="33"/>
      <c r="E55" s="33"/>
      <c r="F55" s="33"/>
      <c r="G55" s="33"/>
      <c r="H55" s="33"/>
    </row>
    <row r="56" spans="1:13" x14ac:dyDescent="0.2">
      <c r="A56" s="699"/>
      <c r="B56" s="700"/>
      <c r="C56" s="33"/>
      <c r="D56" s="33"/>
      <c r="E56" s="33"/>
      <c r="F56" s="33"/>
      <c r="G56" s="33"/>
      <c r="H56" s="33"/>
    </row>
    <row r="57" spans="1:13" x14ac:dyDescent="0.2">
      <c r="A57" s="701" t="str">
        <f>CONCATENATE("City Official Title: ",inputHearing!B30,"")</f>
        <v>City Official Title: City Manager</v>
      </c>
      <c r="B57" s="684"/>
      <c r="C57" s="33"/>
      <c r="D57" s="33"/>
      <c r="E57" s="33"/>
      <c r="F57" s="33"/>
      <c r="G57" s="33"/>
      <c r="H57" s="33"/>
    </row>
    <row r="58" spans="1:13" x14ac:dyDescent="0.2">
      <c r="A58" s="33"/>
      <c r="B58" s="33"/>
      <c r="C58" s="33"/>
      <c r="D58" s="33"/>
      <c r="E58" s="33"/>
      <c r="F58" s="33"/>
      <c r="G58" s="33"/>
      <c r="H58" s="33"/>
    </row>
    <row r="59" spans="1:13" x14ac:dyDescent="0.2">
      <c r="A59" s="33"/>
      <c r="B59" s="33"/>
      <c r="C59" s="564" t="s">
        <v>280</v>
      </c>
      <c r="D59" s="462">
        <v>18</v>
      </c>
      <c r="E59" s="33"/>
      <c r="F59" s="33"/>
      <c r="G59" s="33"/>
      <c r="H59" s="33"/>
    </row>
  </sheetData>
  <mergeCells count="17">
    <mergeCell ref="J42:M42"/>
    <mergeCell ref="A1:H1"/>
    <mergeCell ref="A3:H3"/>
    <mergeCell ref="A4:H4"/>
    <mergeCell ref="A5:H5"/>
    <mergeCell ref="A6:H6"/>
    <mergeCell ref="A7:H7"/>
    <mergeCell ref="H13:H14"/>
    <mergeCell ref="J26:M26"/>
    <mergeCell ref="J29:M29"/>
    <mergeCell ref="J36:M36"/>
    <mergeCell ref="A39:G39"/>
    <mergeCell ref="J49:L50"/>
    <mergeCell ref="M49:M50"/>
    <mergeCell ref="J51:M53"/>
    <mergeCell ref="A56:B56"/>
    <mergeCell ref="A57:B57"/>
  </mergeCells>
  <conditionalFormatting sqref="M49:M50">
    <cfRule type="containsText" dxfId="0" priority="1" operator="containsText" text="Yes">
      <formula>NOT(ISERROR(SEARCH("Yes",M49)))</formula>
    </cfRule>
  </conditionalFormatting>
  <pageMargins left="0.5" right="0.5" top="1" bottom="0.5" header="0.5" footer="0.5"/>
  <pageSetup scale="65" orientation="portrait" blackAndWhite="1" r:id="rId1"/>
  <headerFooter alignWithMargins="0">
    <oddHeader>&amp;RState of Kansas
City</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4D8DB-53E3-48A2-A694-DB848403BDB7}">
  <sheetPr codeName="Sheet35">
    <tabColor rgb="FF00B0F0"/>
  </sheetPr>
  <dimension ref="A1:G22"/>
  <sheetViews>
    <sheetView workbookViewId="0">
      <selection activeCell="K19" sqref="K19"/>
    </sheetView>
  </sheetViews>
  <sheetFormatPr defaultRowHeight="15.75" x14ac:dyDescent="0.25"/>
  <cols>
    <col min="1" max="3" width="11.5546875" style="531" customWidth="1"/>
    <col min="4" max="4" width="12.109375" style="531" customWidth="1"/>
    <col min="5" max="7" width="8.6640625" style="531" customWidth="1"/>
    <col min="8" max="256" width="8.88671875" style="531"/>
    <col min="257" max="260" width="11.5546875" style="531" customWidth="1"/>
    <col min="261" max="263" width="10.5546875" style="531" customWidth="1"/>
    <col min="264" max="512" width="8.88671875" style="531"/>
    <col min="513" max="516" width="11.5546875" style="531" customWidth="1"/>
    <col min="517" max="519" width="10.5546875" style="531" customWidth="1"/>
    <col min="520" max="768" width="8.88671875" style="531"/>
    <col min="769" max="772" width="11.5546875" style="531" customWidth="1"/>
    <col min="773" max="775" width="10.5546875" style="531" customWidth="1"/>
    <col min="776" max="1024" width="8.88671875" style="531"/>
    <col min="1025" max="1028" width="11.5546875" style="531" customWidth="1"/>
    <col min="1029" max="1031" width="10.5546875" style="531" customWidth="1"/>
    <col min="1032" max="1280" width="8.88671875" style="531"/>
    <col min="1281" max="1284" width="11.5546875" style="531" customWidth="1"/>
    <col min="1285" max="1287" width="10.5546875" style="531" customWidth="1"/>
    <col min="1288" max="1536" width="8.88671875" style="531"/>
    <col min="1537" max="1540" width="11.5546875" style="531" customWidth="1"/>
    <col min="1541" max="1543" width="10.5546875" style="531" customWidth="1"/>
    <col min="1544" max="1792" width="8.88671875" style="531"/>
    <col min="1793" max="1796" width="11.5546875" style="531" customWidth="1"/>
    <col min="1797" max="1799" width="10.5546875" style="531" customWidth="1"/>
    <col min="1800" max="2048" width="8.88671875" style="531"/>
    <col min="2049" max="2052" width="11.5546875" style="531" customWidth="1"/>
    <col min="2053" max="2055" width="10.5546875" style="531" customWidth="1"/>
    <col min="2056" max="2304" width="8.88671875" style="531"/>
    <col min="2305" max="2308" width="11.5546875" style="531" customWidth="1"/>
    <col min="2309" max="2311" width="10.5546875" style="531" customWidth="1"/>
    <col min="2312" max="2560" width="8.88671875" style="531"/>
    <col min="2561" max="2564" width="11.5546875" style="531" customWidth="1"/>
    <col min="2565" max="2567" width="10.5546875" style="531" customWidth="1"/>
    <col min="2568" max="2816" width="8.88671875" style="531"/>
    <col min="2817" max="2820" width="11.5546875" style="531" customWidth="1"/>
    <col min="2821" max="2823" width="10.5546875" style="531" customWidth="1"/>
    <col min="2824" max="3072" width="8.88671875" style="531"/>
    <col min="3073" max="3076" width="11.5546875" style="531" customWidth="1"/>
    <col min="3077" max="3079" width="10.5546875" style="531" customWidth="1"/>
    <col min="3080" max="3328" width="8.88671875" style="531"/>
    <col min="3329" max="3332" width="11.5546875" style="531" customWidth="1"/>
    <col min="3333" max="3335" width="10.5546875" style="531" customWidth="1"/>
    <col min="3336" max="3584" width="8.88671875" style="531"/>
    <col min="3585" max="3588" width="11.5546875" style="531" customWidth="1"/>
    <col min="3589" max="3591" width="10.5546875" style="531" customWidth="1"/>
    <col min="3592" max="3840" width="8.88671875" style="531"/>
    <col min="3841" max="3844" width="11.5546875" style="531" customWidth="1"/>
    <col min="3845" max="3847" width="10.5546875" style="531" customWidth="1"/>
    <col min="3848" max="4096" width="8.88671875" style="531"/>
    <col min="4097" max="4100" width="11.5546875" style="531" customWidth="1"/>
    <col min="4101" max="4103" width="10.5546875" style="531" customWidth="1"/>
    <col min="4104" max="4352" width="8.88671875" style="531"/>
    <col min="4353" max="4356" width="11.5546875" style="531" customWidth="1"/>
    <col min="4357" max="4359" width="10.5546875" style="531" customWidth="1"/>
    <col min="4360" max="4608" width="8.88671875" style="531"/>
    <col min="4609" max="4612" width="11.5546875" style="531" customWidth="1"/>
    <col min="4613" max="4615" width="10.5546875" style="531" customWidth="1"/>
    <col min="4616" max="4864" width="8.88671875" style="531"/>
    <col min="4865" max="4868" width="11.5546875" style="531" customWidth="1"/>
    <col min="4869" max="4871" width="10.5546875" style="531" customWidth="1"/>
    <col min="4872" max="5120" width="8.88671875" style="531"/>
    <col min="5121" max="5124" width="11.5546875" style="531" customWidth="1"/>
    <col min="5125" max="5127" width="10.5546875" style="531" customWidth="1"/>
    <col min="5128" max="5376" width="8.88671875" style="531"/>
    <col min="5377" max="5380" width="11.5546875" style="531" customWidth="1"/>
    <col min="5381" max="5383" width="10.5546875" style="531" customWidth="1"/>
    <col min="5384" max="5632" width="8.88671875" style="531"/>
    <col min="5633" max="5636" width="11.5546875" style="531" customWidth="1"/>
    <col min="5637" max="5639" width="10.5546875" style="531" customWidth="1"/>
    <col min="5640" max="5888" width="8.88671875" style="531"/>
    <col min="5889" max="5892" width="11.5546875" style="531" customWidth="1"/>
    <col min="5893" max="5895" width="10.5546875" style="531" customWidth="1"/>
    <col min="5896" max="6144" width="8.88671875" style="531"/>
    <col min="6145" max="6148" width="11.5546875" style="531" customWidth="1"/>
    <col min="6149" max="6151" width="10.5546875" style="531" customWidth="1"/>
    <col min="6152" max="6400" width="8.88671875" style="531"/>
    <col min="6401" max="6404" width="11.5546875" style="531" customWidth="1"/>
    <col min="6405" max="6407" width="10.5546875" style="531" customWidth="1"/>
    <col min="6408" max="6656" width="8.88671875" style="531"/>
    <col min="6657" max="6660" width="11.5546875" style="531" customWidth="1"/>
    <col min="6661" max="6663" width="10.5546875" style="531" customWidth="1"/>
    <col min="6664" max="6912" width="8.88671875" style="531"/>
    <col min="6913" max="6916" width="11.5546875" style="531" customWidth="1"/>
    <col min="6917" max="6919" width="10.5546875" style="531" customWidth="1"/>
    <col min="6920" max="7168" width="8.88671875" style="531"/>
    <col min="7169" max="7172" width="11.5546875" style="531" customWidth="1"/>
    <col min="7173" max="7175" width="10.5546875" style="531" customWidth="1"/>
    <col min="7176" max="7424" width="8.88671875" style="531"/>
    <col min="7425" max="7428" width="11.5546875" style="531" customWidth="1"/>
    <col min="7429" max="7431" width="10.5546875" style="531" customWidth="1"/>
    <col min="7432" max="7680" width="8.88671875" style="531"/>
    <col min="7681" max="7684" width="11.5546875" style="531" customWidth="1"/>
    <col min="7685" max="7687" width="10.5546875" style="531" customWidth="1"/>
    <col min="7688" max="7936" width="8.88671875" style="531"/>
    <col min="7937" max="7940" width="11.5546875" style="531" customWidth="1"/>
    <col min="7941" max="7943" width="10.5546875" style="531" customWidth="1"/>
    <col min="7944" max="8192" width="8.88671875" style="531"/>
    <col min="8193" max="8196" width="11.5546875" style="531" customWidth="1"/>
    <col min="8197" max="8199" width="10.5546875" style="531" customWidth="1"/>
    <col min="8200" max="8448" width="8.88671875" style="531"/>
    <col min="8449" max="8452" width="11.5546875" style="531" customWidth="1"/>
    <col min="8453" max="8455" width="10.5546875" style="531" customWidth="1"/>
    <col min="8456" max="8704" width="8.88671875" style="531"/>
    <col min="8705" max="8708" width="11.5546875" style="531" customWidth="1"/>
    <col min="8709" max="8711" width="10.5546875" style="531" customWidth="1"/>
    <col min="8712" max="8960" width="8.88671875" style="531"/>
    <col min="8961" max="8964" width="11.5546875" style="531" customWidth="1"/>
    <col min="8965" max="8967" width="10.5546875" style="531" customWidth="1"/>
    <col min="8968" max="9216" width="8.88671875" style="531"/>
    <col min="9217" max="9220" width="11.5546875" style="531" customWidth="1"/>
    <col min="9221" max="9223" width="10.5546875" style="531" customWidth="1"/>
    <col min="9224" max="9472" width="8.88671875" style="531"/>
    <col min="9473" max="9476" width="11.5546875" style="531" customWidth="1"/>
    <col min="9477" max="9479" width="10.5546875" style="531" customWidth="1"/>
    <col min="9480" max="9728" width="8.88671875" style="531"/>
    <col min="9729" max="9732" width="11.5546875" style="531" customWidth="1"/>
    <col min="9733" max="9735" width="10.5546875" style="531" customWidth="1"/>
    <col min="9736" max="9984" width="8.88671875" style="531"/>
    <col min="9985" max="9988" width="11.5546875" style="531" customWidth="1"/>
    <col min="9989" max="9991" width="10.5546875" style="531" customWidth="1"/>
    <col min="9992" max="10240" width="8.88671875" style="531"/>
    <col min="10241" max="10244" width="11.5546875" style="531" customWidth="1"/>
    <col min="10245" max="10247" width="10.5546875" style="531" customWidth="1"/>
    <col min="10248" max="10496" width="8.88671875" style="531"/>
    <col min="10497" max="10500" width="11.5546875" style="531" customWidth="1"/>
    <col min="10501" max="10503" width="10.5546875" style="531" customWidth="1"/>
    <col min="10504" max="10752" width="8.88671875" style="531"/>
    <col min="10753" max="10756" width="11.5546875" style="531" customWidth="1"/>
    <col min="10757" max="10759" width="10.5546875" style="531" customWidth="1"/>
    <col min="10760" max="11008" width="8.88671875" style="531"/>
    <col min="11009" max="11012" width="11.5546875" style="531" customWidth="1"/>
    <col min="11013" max="11015" width="10.5546875" style="531" customWidth="1"/>
    <col min="11016" max="11264" width="8.88671875" style="531"/>
    <col min="11265" max="11268" width="11.5546875" style="531" customWidth="1"/>
    <col min="11269" max="11271" width="10.5546875" style="531" customWidth="1"/>
    <col min="11272" max="11520" width="8.88671875" style="531"/>
    <col min="11521" max="11524" width="11.5546875" style="531" customWidth="1"/>
    <col min="11525" max="11527" width="10.5546875" style="531" customWidth="1"/>
    <col min="11528" max="11776" width="8.88671875" style="531"/>
    <col min="11777" max="11780" width="11.5546875" style="531" customWidth="1"/>
    <col min="11781" max="11783" width="10.5546875" style="531" customWidth="1"/>
    <col min="11784" max="12032" width="8.88671875" style="531"/>
    <col min="12033" max="12036" width="11.5546875" style="531" customWidth="1"/>
    <col min="12037" max="12039" width="10.5546875" style="531" customWidth="1"/>
    <col min="12040" max="12288" width="8.88671875" style="531"/>
    <col min="12289" max="12292" width="11.5546875" style="531" customWidth="1"/>
    <col min="12293" max="12295" width="10.5546875" style="531" customWidth="1"/>
    <col min="12296" max="12544" width="8.88671875" style="531"/>
    <col min="12545" max="12548" width="11.5546875" style="531" customWidth="1"/>
    <col min="12549" max="12551" width="10.5546875" style="531" customWidth="1"/>
    <col min="12552" max="12800" width="8.88671875" style="531"/>
    <col min="12801" max="12804" width="11.5546875" style="531" customWidth="1"/>
    <col min="12805" max="12807" width="10.5546875" style="531" customWidth="1"/>
    <col min="12808" max="13056" width="8.88671875" style="531"/>
    <col min="13057" max="13060" width="11.5546875" style="531" customWidth="1"/>
    <col min="13061" max="13063" width="10.5546875" style="531" customWidth="1"/>
    <col min="13064" max="13312" width="8.88671875" style="531"/>
    <col min="13313" max="13316" width="11.5546875" style="531" customWidth="1"/>
    <col min="13317" max="13319" width="10.5546875" style="531" customWidth="1"/>
    <col min="13320" max="13568" width="8.88671875" style="531"/>
    <col min="13569" max="13572" width="11.5546875" style="531" customWidth="1"/>
    <col min="13573" max="13575" width="10.5546875" style="531" customWidth="1"/>
    <col min="13576" max="13824" width="8.88671875" style="531"/>
    <col min="13825" max="13828" width="11.5546875" style="531" customWidth="1"/>
    <col min="13829" max="13831" width="10.5546875" style="531" customWidth="1"/>
    <col min="13832" max="14080" width="8.88671875" style="531"/>
    <col min="14081" max="14084" width="11.5546875" style="531" customWidth="1"/>
    <col min="14085" max="14087" width="10.5546875" style="531" customWidth="1"/>
    <col min="14088" max="14336" width="8.88671875" style="531"/>
    <col min="14337" max="14340" width="11.5546875" style="531" customWidth="1"/>
    <col min="14341" max="14343" width="10.5546875" style="531" customWidth="1"/>
    <col min="14344" max="14592" width="8.88671875" style="531"/>
    <col min="14593" max="14596" width="11.5546875" style="531" customWidth="1"/>
    <col min="14597" max="14599" width="10.5546875" style="531" customWidth="1"/>
    <col min="14600" max="14848" width="8.88671875" style="531"/>
    <col min="14849" max="14852" width="11.5546875" style="531" customWidth="1"/>
    <col min="14853" max="14855" width="10.5546875" style="531" customWidth="1"/>
    <col min="14856" max="15104" width="8.88671875" style="531"/>
    <col min="15105" max="15108" width="11.5546875" style="531" customWidth="1"/>
    <col min="15109" max="15111" width="10.5546875" style="531" customWidth="1"/>
    <col min="15112" max="15360" width="8.88671875" style="531"/>
    <col min="15361" max="15364" width="11.5546875" style="531" customWidth="1"/>
    <col min="15365" max="15367" width="10.5546875" style="531" customWidth="1"/>
    <col min="15368" max="15616" width="8.88671875" style="531"/>
    <col min="15617" max="15620" width="11.5546875" style="531" customWidth="1"/>
    <col min="15621" max="15623" width="10.5546875" style="531" customWidth="1"/>
    <col min="15624" max="15872" width="8.88671875" style="531"/>
    <col min="15873" max="15876" width="11.5546875" style="531" customWidth="1"/>
    <col min="15877" max="15879" width="10.5546875" style="531" customWidth="1"/>
    <col min="15880" max="16128" width="8.88671875" style="531"/>
    <col min="16129" max="16132" width="11.5546875" style="531" customWidth="1"/>
    <col min="16133" max="16135" width="10.5546875" style="531" customWidth="1"/>
    <col min="16136" max="16384" width="8.88671875" style="531"/>
  </cols>
  <sheetData>
    <row r="1" spans="1:7" ht="18.75" x14ac:dyDescent="0.3">
      <c r="A1" s="721" t="s">
        <v>424</v>
      </c>
      <c r="B1" s="721"/>
      <c r="C1" s="721"/>
      <c r="D1" s="721"/>
      <c r="E1" s="721"/>
      <c r="F1" s="721"/>
      <c r="G1" s="721"/>
    </row>
    <row r="2" spans="1:7" x14ac:dyDescent="0.25">
      <c r="A2" s="532"/>
      <c r="B2" s="532"/>
      <c r="C2" s="532"/>
      <c r="D2" s="532"/>
      <c r="E2" s="532"/>
      <c r="F2" s="532"/>
      <c r="G2" s="532"/>
    </row>
    <row r="3" spans="1:7" ht="32.25" customHeight="1" x14ac:dyDescent="0.25">
      <c r="A3" s="722" t="s">
        <v>907</v>
      </c>
      <c r="B3" s="722"/>
      <c r="C3" s="722"/>
      <c r="D3" s="722"/>
      <c r="E3" s="722"/>
      <c r="F3" s="722"/>
      <c r="G3" s="722"/>
    </row>
    <row r="4" spans="1:7" ht="8.25" customHeight="1" x14ac:dyDescent="0.25">
      <c r="A4" s="575"/>
      <c r="B4" s="575"/>
      <c r="C4" s="575"/>
      <c r="D4" s="575"/>
      <c r="E4" s="575"/>
      <c r="F4" s="575"/>
      <c r="G4" s="575"/>
    </row>
    <row r="5" spans="1:7" x14ac:dyDescent="0.25">
      <c r="A5" s="723" t="s">
        <v>908</v>
      </c>
      <c r="B5" s="723"/>
      <c r="C5" s="723"/>
      <c r="D5" s="723"/>
      <c r="E5" s="723"/>
      <c r="F5" s="723"/>
      <c r="G5" s="723"/>
    </row>
    <row r="6" spans="1:7" ht="8.25" customHeight="1" x14ac:dyDescent="0.25">
      <c r="A6" s="576"/>
      <c r="B6" s="576"/>
      <c r="C6" s="576"/>
      <c r="D6" s="576"/>
      <c r="E6" s="576"/>
      <c r="F6" s="576"/>
      <c r="G6" s="576"/>
    </row>
    <row r="7" spans="1:7" x14ac:dyDescent="0.25">
      <c r="A7" s="723" t="s">
        <v>909</v>
      </c>
      <c r="B7" s="723"/>
      <c r="C7" s="723"/>
      <c r="D7" s="723"/>
      <c r="E7" s="723"/>
      <c r="F7" s="723"/>
      <c r="G7" s="723"/>
    </row>
    <row r="8" spans="1:7" x14ac:dyDescent="0.25">
      <c r="A8" s="576"/>
      <c r="B8" s="576"/>
      <c r="C8" s="576"/>
      <c r="D8" s="576"/>
      <c r="E8" s="576"/>
      <c r="F8" s="576"/>
      <c r="G8" s="576"/>
    </row>
    <row r="9" spans="1:7" ht="22.5" customHeight="1" x14ac:dyDescent="0.25">
      <c r="A9" s="724" t="s">
        <v>425</v>
      </c>
      <c r="B9" s="725"/>
      <c r="C9" s="725"/>
      <c r="D9" s="726"/>
      <c r="E9" s="533" t="s">
        <v>426</v>
      </c>
      <c r="F9" s="533" t="s">
        <v>427</v>
      </c>
      <c r="G9" s="533" t="s">
        <v>428</v>
      </c>
    </row>
    <row r="10" spans="1:7" ht="22.5" customHeight="1" x14ac:dyDescent="0.25">
      <c r="A10" s="718" t="s">
        <v>910</v>
      </c>
      <c r="B10" s="719"/>
      <c r="C10" s="719"/>
      <c r="D10" s="720"/>
      <c r="E10" s="572" t="s">
        <v>179</v>
      </c>
      <c r="F10" s="572"/>
      <c r="G10" s="572"/>
    </row>
    <row r="11" spans="1:7" ht="22.5" customHeight="1" x14ac:dyDescent="0.25">
      <c r="A11" s="718" t="s">
        <v>911</v>
      </c>
      <c r="B11" s="719"/>
      <c r="C11" s="719"/>
      <c r="D11" s="720"/>
      <c r="E11" s="572" t="s">
        <v>179</v>
      </c>
      <c r="F11" s="572"/>
      <c r="G11" s="572"/>
    </row>
    <row r="12" spans="1:7" ht="22.5" customHeight="1" x14ac:dyDescent="0.25">
      <c r="A12" s="714" t="s">
        <v>912</v>
      </c>
      <c r="B12" s="714"/>
      <c r="C12" s="714"/>
      <c r="D12" s="714"/>
      <c r="E12" s="572" t="s">
        <v>179</v>
      </c>
      <c r="F12" s="572"/>
      <c r="G12" s="572"/>
    </row>
    <row r="13" spans="1:7" ht="22.5" customHeight="1" x14ac:dyDescent="0.25">
      <c r="A13" s="714" t="s">
        <v>913</v>
      </c>
      <c r="B13" s="714"/>
      <c r="C13" s="714"/>
      <c r="D13" s="714"/>
      <c r="E13" s="572" t="s">
        <v>179</v>
      </c>
      <c r="F13" s="572"/>
      <c r="G13" s="572"/>
    </row>
    <row r="14" spans="1:7" ht="22.5" customHeight="1" x14ac:dyDescent="0.25">
      <c r="A14" s="714" t="s">
        <v>914</v>
      </c>
      <c r="B14" s="714"/>
      <c r="C14" s="714"/>
      <c r="D14" s="714"/>
      <c r="E14" s="572" t="s">
        <v>179</v>
      </c>
      <c r="F14" s="572"/>
      <c r="G14" s="572"/>
    </row>
    <row r="15" spans="1:7" ht="22.5" customHeight="1" x14ac:dyDescent="0.25">
      <c r="A15" s="714"/>
      <c r="B15" s="714"/>
      <c r="C15" s="714"/>
      <c r="D15" s="714"/>
      <c r="E15" s="572"/>
      <c r="F15" s="572"/>
      <c r="G15" s="572"/>
    </row>
    <row r="16" spans="1:7" ht="22.5" customHeight="1" x14ac:dyDescent="0.25">
      <c r="A16" s="714"/>
      <c r="B16" s="714"/>
      <c r="C16" s="714"/>
      <c r="D16" s="714"/>
      <c r="E16" s="572"/>
      <c r="F16" s="572"/>
      <c r="G16" s="572"/>
    </row>
    <row r="17" spans="1:7" ht="22.5" customHeight="1" x14ac:dyDescent="0.25">
      <c r="A17" s="714"/>
      <c r="B17" s="714"/>
      <c r="C17" s="714"/>
      <c r="D17" s="714"/>
      <c r="E17" s="572"/>
      <c r="F17" s="572"/>
      <c r="G17" s="572"/>
    </row>
    <row r="18" spans="1:7" ht="22.5" customHeight="1" thickBot="1" x14ac:dyDescent="0.3">
      <c r="A18" s="715"/>
      <c r="B18" s="715"/>
      <c r="C18" s="715"/>
      <c r="D18" s="715"/>
      <c r="E18" s="573"/>
      <c r="F18" s="573"/>
      <c r="G18" s="573"/>
    </row>
    <row r="19" spans="1:7" ht="22.5" customHeight="1" thickTop="1" x14ac:dyDescent="0.25">
      <c r="A19" s="716" t="s">
        <v>201</v>
      </c>
      <c r="B19" s="716"/>
      <c r="C19" s="716"/>
      <c r="D19" s="716"/>
      <c r="E19" s="574"/>
      <c r="F19" s="574"/>
      <c r="G19" s="574"/>
    </row>
    <row r="21" spans="1:7" x14ac:dyDescent="0.25">
      <c r="A21" s="534" t="s">
        <v>429</v>
      </c>
      <c r="B21" s="535"/>
    </row>
    <row r="22" spans="1:7" x14ac:dyDescent="0.25">
      <c r="A22" s="717"/>
      <c r="B22" s="717"/>
      <c r="C22" s="717"/>
    </row>
  </sheetData>
  <mergeCells count="16">
    <mergeCell ref="A10:D10"/>
    <mergeCell ref="A1:G1"/>
    <mergeCell ref="A3:G3"/>
    <mergeCell ref="A5:G5"/>
    <mergeCell ref="A7:G7"/>
    <mergeCell ref="A9:D9"/>
    <mergeCell ref="A17:D17"/>
    <mergeCell ref="A18:D18"/>
    <mergeCell ref="A19:D19"/>
    <mergeCell ref="A22:C22"/>
    <mergeCell ref="A11:D11"/>
    <mergeCell ref="A12:D12"/>
    <mergeCell ref="A13:D13"/>
    <mergeCell ref="A14:D14"/>
    <mergeCell ref="A15:D15"/>
    <mergeCell ref="A16:D1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EF39C-10F1-40E3-B7A0-0E74D6E77FC7}">
  <dimension ref="A1"/>
  <sheetViews>
    <sheetView workbookViewId="0">
      <selection activeCell="N16" sqref="N16"/>
    </sheetView>
  </sheetViews>
  <sheetFormatPr defaultRowHeight="15" x14ac:dyDescent="0.2"/>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2BD79-7EFD-4844-8DF8-BD7CF87957A8}">
  <dimension ref="A1"/>
  <sheetViews>
    <sheetView workbookViewId="0">
      <selection activeCell="P21" sqref="P21"/>
    </sheetView>
  </sheetViews>
  <sheetFormatPr defaultRowHeight="15" x14ac:dyDescent="0.2"/>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5D15-E423-40D7-82F4-FBFEA4D8D2CA}">
  <dimension ref="A1"/>
  <sheetViews>
    <sheetView workbookViewId="0">
      <selection activeCell="O17" sqref="O17"/>
    </sheetView>
  </sheetViews>
  <sheetFormatPr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92"/>
  <sheetViews>
    <sheetView topLeftCell="A39" workbookViewId="0">
      <selection activeCell="E6" sqref="E6"/>
    </sheetView>
  </sheetViews>
  <sheetFormatPr defaultColWidth="8.88671875" defaultRowHeight="15" x14ac:dyDescent="0.2"/>
  <cols>
    <col min="1" max="1" width="15.77734375" style="29" customWidth="1"/>
    <col min="2" max="2" width="20.77734375" style="29" customWidth="1"/>
    <col min="3" max="3" width="9.77734375" style="29" customWidth="1"/>
    <col min="4" max="4" width="15.109375" style="29" customWidth="1"/>
    <col min="5" max="5" width="15.77734375" style="29" customWidth="1"/>
    <col min="6" max="16384" width="8.88671875" style="29"/>
  </cols>
  <sheetData>
    <row r="1" spans="1:5" ht="15.75" x14ac:dyDescent="0.2">
      <c r="A1" s="51" t="str">
        <f>inputPrYr!$D$3</f>
        <v>City of Concordia</v>
      </c>
      <c r="B1" s="73"/>
      <c r="C1" s="73"/>
      <c r="D1" s="73"/>
      <c r="E1" s="33">
        <f>inputPrYr!C6</f>
        <v>2026</v>
      </c>
    </row>
    <row r="2" spans="1:5" x14ac:dyDescent="0.2">
      <c r="A2" s="73"/>
      <c r="B2" s="73"/>
      <c r="C2" s="73"/>
      <c r="D2" s="73"/>
      <c r="E2" s="73"/>
    </row>
    <row r="3" spans="1:5" ht="15.75" x14ac:dyDescent="0.2">
      <c r="A3" s="593" t="s">
        <v>84</v>
      </c>
      <c r="B3" s="594"/>
      <c r="C3" s="594"/>
      <c r="D3" s="594"/>
      <c r="E3" s="594"/>
    </row>
    <row r="4" spans="1:5" x14ac:dyDescent="0.2">
      <c r="A4" s="73"/>
      <c r="B4" s="73"/>
      <c r="C4" s="73"/>
      <c r="D4" s="73"/>
      <c r="E4" s="73"/>
    </row>
    <row r="5" spans="1:5" ht="15.75" x14ac:dyDescent="0.2">
      <c r="A5" s="434" t="str">
        <f>CONCATENATE("From the County Clerk's ",E1," Budget Information:")</f>
        <v>From the County Clerk's 2026 Budget Information:</v>
      </c>
      <c r="B5" s="435"/>
      <c r="C5" s="33"/>
      <c r="D5" s="33"/>
      <c r="E5" s="87"/>
    </row>
    <row r="6" spans="1:5" ht="15.75" x14ac:dyDescent="0.2">
      <c r="A6" s="95" t="str">
        <f>CONCATENATE("Total Assessed Valuation for ",E1-1,"")</f>
        <v>Total Assessed Valuation for 2025</v>
      </c>
      <c r="B6" s="76"/>
      <c r="C6" s="76"/>
      <c r="D6" s="76"/>
      <c r="E6" s="72">
        <v>37794299</v>
      </c>
    </row>
    <row r="7" spans="1:5" ht="15.75" hidden="1" x14ac:dyDescent="0.2">
      <c r="A7" s="95" t="str">
        <f>CONCATENATE("New Improvements, Remodeling and Renovations for ",E1-1,"")</f>
        <v>New Improvements, Remodeling and Renovations for 2025</v>
      </c>
      <c r="B7" s="76"/>
      <c r="C7" s="76"/>
      <c r="D7" s="76"/>
      <c r="E7" s="96"/>
    </row>
    <row r="8" spans="1:5" ht="15.75" hidden="1" x14ac:dyDescent="0.2">
      <c r="A8" s="95" t="str">
        <f>CONCATENATE("Personal Property - ",E1-1,"")</f>
        <v>Personal Property - 2025</v>
      </c>
      <c r="B8" s="76"/>
      <c r="C8" s="76"/>
      <c r="D8" s="76"/>
      <c r="E8" s="96"/>
    </row>
    <row r="9" spans="1:5" ht="15.75" hidden="1" x14ac:dyDescent="0.2">
      <c r="A9" s="97" t="s">
        <v>113</v>
      </c>
      <c r="B9" s="76"/>
      <c r="C9" s="76"/>
      <c r="D9" s="76"/>
      <c r="E9" s="47"/>
    </row>
    <row r="10" spans="1:5" ht="15.75" hidden="1" x14ac:dyDescent="0.2">
      <c r="A10" s="95" t="s">
        <v>114</v>
      </c>
      <c r="B10" s="76"/>
      <c r="C10" s="76"/>
      <c r="D10" s="76"/>
      <c r="E10" s="96"/>
    </row>
    <row r="11" spans="1:5" ht="15.75" hidden="1" x14ac:dyDescent="0.2">
      <c r="A11" s="95" t="s">
        <v>115</v>
      </c>
      <c r="B11" s="76"/>
      <c r="C11" s="76"/>
      <c r="D11" s="76"/>
      <c r="E11" s="96"/>
    </row>
    <row r="12" spans="1:5" ht="15.75" hidden="1" x14ac:dyDescent="0.2">
      <c r="A12" s="95" t="s">
        <v>116</v>
      </c>
      <c r="B12" s="76"/>
      <c r="C12" s="76"/>
      <c r="D12" s="76"/>
      <c r="E12" s="96"/>
    </row>
    <row r="13" spans="1:5" ht="15.75" hidden="1" x14ac:dyDescent="0.2">
      <c r="A13" s="95" t="str">
        <f>CONCATENATE("Property that has changed in use for ",E1-1,"")</f>
        <v>Property that has changed in use for 2025</v>
      </c>
      <c r="B13" s="76"/>
      <c r="C13" s="76"/>
      <c r="D13" s="76"/>
      <c r="E13" s="96"/>
    </row>
    <row r="14" spans="1:5" ht="15.75" hidden="1" x14ac:dyDescent="0.2">
      <c r="A14" s="95" t="str">
        <f>CONCATENATE("Personal Property - ",E1-2,"")</f>
        <v>Personal Property - 2024</v>
      </c>
      <c r="B14" s="76"/>
      <c r="C14" s="76"/>
      <c r="D14" s="76"/>
      <c r="E14" s="96"/>
    </row>
    <row r="15" spans="1:5" ht="15.75" hidden="1" x14ac:dyDescent="0.2">
      <c r="A15" s="95" t="s">
        <v>117</v>
      </c>
      <c r="B15" s="76"/>
      <c r="C15" s="76"/>
      <c r="D15" s="76"/>
      <c r="E15" s="96"/>
    </row>
    <row r="16" spans="1:5" ht="15.75" hidden="1" x14ac:dyDescent="0.2">
      <c r="A16" s="95" t="str">
        <f>CONCATENATE("Gross earnings (intangible) tax estimate for ",E1,"")</f>
        <v>Gross earnings (intangible) tax estimate for 2026</v>
      </c>
      <c r="B16" s="76"/>
      <c r="C16" s="76"/>
      <c r="D16" s="85"/>
      <c r="E16" s="72"/>
    </row>
    <row r="17" spans="1:5" ht="15.75" hidden="1" x14ac:dyDescent="0.2">
      <c r="A17" s="95" t="s">
        <v>118</v>
      </c>
      <c r="B17" s="76"/>
      <c r="C17" s="76"/>
      <c r="D17" s="76"/>
      <c r="E17" s="92"/>
    </row>
    <row r="18" spans="1:5" ht="15.75" x14ac:dyDescent="0.2">
      <c r="A18" s="560" t="s">
        <v>119</v>
      </c>
      <c r="B18" s="76"/>
      <c r="C18" s="76"/>
      <c r="D18" s="85"/>
      <c r="E18" s="92">
        <v>0</v>
      </c>
    </row>
    <row r="19" spans="1:5" ht="15.75" x14ac:dyDescent="0.2">
      <c r="A19" s="560" t="s">
        <v>120</v>
      </c>
      <c r="B19" s="76"/>
      <c r="C19" s="76"/>
      <c r="D19" s="85"/>
      <c r="E19" s="92">
        <v>0</v>
      </c>
    </row>
    <row r="20" spans="1:5" ht="15.75" x14ac:dyDescent="0.2">
      <c r="A20" s="557"/>
      <c r="B20" s="33"/>
      <c r="C20" s="33"/>
      <c r="D20" s="33"/>
      <c r="E20" s="83"/>
    </row>
    <row r="21" spans="1:5" ht="15.75" x14ac:dyDescent="0.2">
      <c r="A21" s="65" t="s">
        <v>121</v>
      </c>
      <c r="B21" s="33"/>
      <c r="C21" s="33"/>
      <c r="D21" s="512">
        <v>46.088999999999999</v>
      </c>
      <c r="E21" s="83"/>
    </row>
    <row r="22" spans="1:5" ht="15.75" x14ac:dyDescent="0.2">
      <c r="A22" s="557"/>
      <c r="B22" s="33"/>
      <c r="C22" s="33"/>
      <c r="D22" s="33"/>
      <c r="E22" s="83"/>
    </row>
    <row r="23" spans="1:5" ht="15.75" x14ac:dyDescent="0.2">
      <c r="A23" s="557" t="str">
        <f>CONCATENATE("Actual Tax Rates for the ",E1-1," Budget:")</f>
        <v>Actual Tax Rates for the 2025 Budget:</v>
      </c>
      <c r="B23" s="33"/>
      <c r="C23" s="33"/>
      <c r="D23" s="33"/>
      <c r="E23" s="83"/>
    </row>
    <row r="24" spans="1:5" ht="15.75" x14ac:dyDescent="0.2">
      <c r="A24" s="595" t="s">
        <v>122</v>
      </c>
      <c r="B24" s="596"/>
      <c r="C24" s="73"/>
      <c r="D24" s="569" t="s">
        <v>123</v>
      </c>
      <c r="E24" s="83"/>
    </row>
    <row r="25" spans="1:5" ht="15.75" x14ac:dyDescent="0.2">
      <c r="A25" s="75" t="s">
        <v>93</v>
      </c>
      <c r="B25" s="61"/>
      <c r="C25" s="33"/>
      <c r="D25" s="452">
        <v>36.374000000000002</v>
      </c>
      <c r="E25" s="83"/>
    </row>
    <row r="26" spans="1:5" ht="15.75" x14ac:dyDescent="0.2">
      <c r="A26" s="95" t="s">
        <v>95</v>
      </c>
      <c r="B26" s="76"/>
      <c r="C26" s="33"/>
      <c r="D26" s="452">
        <v>4.4770000000000003</v>
      </c>
      <c r="E26" s="83"/>
    </row>
    <row r="27" spans="1:5" ht="15.75" x14ac:dyDescent="0.2">
      <c r="A27" s="95" t="str">
        <f>IF(inputPrYr!B19&gt;" ",(inputPrYr!B19)," ")</f>
        <v>Library</v>
      </c>
      <c r="B27" s="76"/>
      <c r="C27" s="33"/>
      <c r="D27" s="452">
        <v>4.9009999999999998</v>
      </c>
      <c r="E27" s="83"/>
    </row>
    <row r="28" spans="1:5" ht="15.75" x14ac:dyDescent="0.2">
      <c r="A28" s="95" t="str">
        <f>IF(inputPrYr!B21&gt;" ",(inputPrYr!B21)," ")</f>
        <v>Library Employee Benefit</v>
      </c>
      <c r="B28" s="76"/>
      <c r="C28" s="33"/>
      <c r="D28" s="452">
        <v>1.8120000000000001</v>
      </c>
      <c r="E28" s="83"/>
    </row>
    <row r="29" spans="1:5" ht="15.75" x14ac:dyDescent="0.2">
      <c r="A29" s="95" t="str">
        <f>IF(inputPrYr!B22&gt;" ",(inputPrYr!B22)," ")</f>
        <v>Economic Development</v>
      </c>
      <c r="B29" s="76"/>
      <c r="C29" s="33"/>
      <c r="D29" s="452">
        <v>1.2210000000000001</v>
      </c>
      <c r="E29" s="83"/>
    </row>
    <row r="30" spans="1:5" ht="15.75" x14ac:dyDescent="0.2">
      <c r="A30" s="95" t="str">
        <f>IF(inputPrYr!B23&gt;" ",(inputPrYr!B23)," ")</f>
        <v xml:space="preserve"> </v>
      </c>
      <c r="B30" s="98"/>
      <c r="C30" s="33"/>
      <c r="D30" s="453"/>
      <c r="E30" s="83"/>
    </row>
    <row r="31" spans="1:5" ht="15.75" x14ac:dyDescent="0.2">
      <c r="A31" s="95" t="str">
        <f>IF(inputPrYr!B24&gt;" ",(inputPrYr!B24)," ")</f>
        <v xml:space="preserve"> </v>
      </c>
      <c r="B31" s="98"/>
      <c r="C31" s="33"/>
      <c r="D31" s="453"/>
      <c r="E31" s="83"/>
    </row>
    <row r="32" spans="1:5" ht="15.75" x14ac:dyDescent="0.2">
      <c r="A32" s="95" t="str">
        <f>IF(inputPrYr!B25&gt;" ",(inputPrYr!B25)," ")</f>
        <v xml:space="preserve"> </v>
      </c>
      <c r="B32" s="98"/>
      <c r="C32" s="33"/>
      <c r="D32" s="453"/>
      <c r="E32" s="83"/>
    </row>
    <row r="33" spans="1:5" ht="15.75" x14ac:dyDescent="0.2">
      <c r="A33" s="95" t="str">
        <f>IF(inputPrYr!B26&gt;" ",(inputPrYr!B26)," ")</f>
        <v xml:space="preserve"> </v>
      </c>
      <c r="B33" s="98"/>
      <c r="C33" s="33"/>
      <c r="D33" s="453"/>
      <c r="E33" s="83"/>
    </row>
    <row r="34" spans="1:5" ht="15.75" x14ac:dyDescent="0.2">
      <c r="A34" s="95" t="str">
        <f>IF(inputPrYr!B27&gt;" ",(inputPrYr!B27)," ")</f>
        <v xml:space="preserve"> </v>
      </c>
      <c r="B34" s="98"/>
      <c r="C34" s="33"/>
      <c r="D34" s="453"/>
      <c r="E34" s="83"/>
    </row>
    <row r="35" spans="1:5" ht="15.75" x14ac:dyDescent="0.2">
      <c r="A35" s="95" t="str">
        <f>IF(inputPrYr!B28&gt;" ",(inputPrYr!B28)," ")</f>
        <v xml:space="preserve"> </v>
      </c>
      <c r="B35" s="98"/>
      <c r="C35" s="33"/>
      <c r="D35" s="453"/>
      <c r="E35" s="83"/>
    </row>
    <row r="36" spans="1:5" ht="15.75" x14ac:dyDescent="0.2">
      <c r="A36" s="95" t="str">
        <f>IF(inputPrYr!B29&gt;" ",(inputPrYr!B29)," ")</f>
        <v xml:space="preserve"> </v>
      </c>
      <c r="B36" s="98"/>
      <c r="C36" s="33"/>
      <c r="D36" s="453"/>
      <c r="E36" s="83"/>
    </row>
    <row r="37" spans="1:5" ht="15.75" x14ac:dyDescent="0.2">
      <c r="A37" s="95" t="str">
        <f>IF(inputPrYr!B30&gt;" ",(inputPrYr!B30)," ")</f>
        <v xml:space="preserve"> </v>
      </c>
      <c r="B37" s="98"/>
      <c r="C37" s="33"/>
      <c r="D37" s="452"/>
      <c r="E37" s="83"/>
    </row>
    <row r="38" spans="1:5" ht="15.75" x14ac:dyDescent="0.2">
      <c r="A38" s="73"/>
      <c r="B38" s="98"/>
      <c r="C38" s="166" t="s">
        <v>107</v>
      </c>
      <c r="D38" s="397">
        <f>SUM(D25:D37)</f>
        <v>48.784999999999997</v>
      </c>
      <c r="E38" s="73"/>
    </row>
    <row r="39" spans="1:5" x14ac:dyDescent="0.2">
      <c r="A39" s="73"/>
      <c r="B39" s="73"/>
      <c r="C39" s="73"/>
      <c r="D39" s="73"/>
      <c r="E39" s="73"/>
    </row>
    <row r="40" spans="1:5" ht="15.75" x14ac:dyDescent="0.2">
      <c r="A40" s="61" t="str">
        <f>CONCATENATE("Final Assessed Valuation from the November 1, ",E1-2," Abstract")</f>
        <v>Final Assessed Valuation from the November 1, 2024 Abstract</v>
      </c>
      <c r="B40" s="99"/>
      <c r="C40" s="99"/>
      <c r="D40" s="99"/>
      <c r="E40" s="92">
        <v>35704010</v>
      </c>
    </row>
    <row r="41" spans="1:5" x14ac:dyDescent="0.2">
      <c r="A41" s="73"/>
      <c r="B41" s="73"/>
      <c r="C41" s="73"/>
      <c r="D41" s="73"/>
      <c r="E41" s="73"/>
    </row>
    <row r="42" spans="1:5" ht="15.75" x14ac:dyDescent="0.2">
      <c r="A42" s="454" t="str">
        <f>CONCATENATE("From the County Treasurer's Budget Information - ",E1," Budget Year Estimates:")</f>
        <v>From the County Treasurer's Budget Information - 2026 Budget Year Estimates:</v>
      </c>
      <c r="B42" s="93"/>
      <c r="C42" s="93"/>
      <c r="D42" s="455"/>
      <c r="E42" s="87"/>
    </row>
    <row r="43" spans="1:5" ht="15.75" x14ac:dyDescent="0.2">
      <c r="A43" s="75" t="s">
        <v>124</v>
      </c>
      <c r="B43" s="61"/>
      <c r="C43" s="61"/>
      <c r="D43" s="100"/>
      <c r="E43" s="579">
        <v>198539</v>
      </c>
    </row>
    <row r="44" spans="1:5" ht="15.75" x14ac:dyDescent="0.2">
      <c r="A44" s="95" t="s">
        <v>125</v>
      </c>
      <c r="B44" s="76"/>
      <c r="C44" s="76"/>
      <c r="D44" s="101"/>
      <c r="E44" s="579">
        <v>2636</v>
      </c>
    </row>
    <row r="45" spans="1:5" ht="15.75" x14ac:dyDescent="0.2">
      <c r="A45" s="95" t="s">
        <v>126</v>
      </c>
      <c r="B45" s="76"/>
      <c r="C45" s="76"/>
      <c r="D45" s="101"/>
      <c r="E45" s="579">
        <v>1187</v>
      </c>
    </row>
    <row r="46" spans="1:5" ht="15.75" x14ac:dyDescent="0.2">
      <c r="A46" s="95" t="s">
        <v>127</v>
      </c>
      <c r="B46" s="76"/>
      <c r="C46" s="76"/>
      <c r="D46" s="101"/>
      <c r="E46" s="579">
        <v>13386</v>
      </c>
    </row>
    <row r="47" spans="1:5" ht="15.75" x14ac:dyDescent="0.2">
      <c r="A47" s="95" t="s">
        <v>128</v>
      </c>
      <c r="B47" s="76"/>
      <c r="C47" s="76"/>
      <c r="D47" s="101"/>
      <c r="E47" s="579">
        <v>942</v>
      </c>
    </row>
    <row r="48" spans="1:5" ht="15.75" x14ac:dyDescent="0.2">
      <c r="A48" s="33" t="s">
        <v>129</v>
      </c>
      <c r="B48" s="33"/>
      <c r="C48" s="33"/>
      <c r="D48" s="33"/>
      <c r="E48" s="33"/>
    </row>
    <row r="49" spans="1:5" ht="15.75" x14ac:dyDescent="0.2">
      <c r="A49" s="65" t="s">
        <v>130</v>
      </c>
      <c r="B49" s="35"/>
      <c r="C49" s="35"/>
      <c r="D49" s="33"/>
      <c r="E49" s="33"/>
    </row>
    <row r="50" spans="1:5" ht="15.75" x14ac:dyDescent="0.2">
      <c r="A50" s="613" t="str">
        <f>CONCATENATE("Actual Delinquency for ",E1-3," Taxes - (e.g. rate .01213 = 1.213%;  key in 1.2)")</f>
        <v>Actual Delinquency for 2023 Taxes - (e.g. rate .01213 = 1.213%;  key in 1.2)</v>
      </c>
      <c r="B50" s="614"/>
      <c r="C50" s="614"/>
      <c r="D50" s="614"/>
      <c r="E50" s="33"/>
    </row>
    <row r="51" spans="1:5" ht="15.75" x14ac:dyDescent="0.2">
      <c r="A51" s="75" t="s">
        <v>131</v>
      </c>
      <c r="B51" s="75"/>
      <c r="C51" s="61"/>
      <c r="D51" s="61"/>
      <c r="E51" s="396">
        <v>0.02</v>
      </c>
    </row>
    <row r="52" spans="1:5" ht="15.75" x14ac:dyDescent="0.2">
      <c r="A52" s="33"/>
      <c r="B52" s="33"/>
      <c r="C52" s="33"/>
      <c r="D52" s="33"/>
      <c r="E52" s="33"/>
    </row>
    <row r="53" spans="1:5" ht="15.75" x14ac:dyDescent="0.2">
      <c r="A53" s="615" t="s">
        <v>132</v>
      </c>
      <c r="B53" s="616"/>
      <c r="C53" s="616"/>
      <c r="D53" s="616"/>
      <c r="E53" s="617"/>
    </row>
    <row r="54" spans="1:5" ht="15.75" x14ac:dyDescent="0.2">
      <c r="A54" s="61" t="str">
        <f>CONCATENATE("",E1," State Distribution for Kansas Gas Tax")</f>
        <v>2026 State Distribution for Kansas Gas Tax</v>
      </c>
      <c r="B54" s="99"/>
      <c r="C54" s="99"/>
      <c r="D54" s="102"/>
      <c r="E54" s="456">
        <v>135420</v>
      </c>
    </row>
    <row r="55" spans="1:5" ht="15.75" x14ac:dyDescent="0.2">
      <c r="A55" s="76" t="str">
        <f>CONCATENATE("",E1," County Transfers for Gas**")</f>
        <v>2026 County Transfers for Gas**</v>
      </c>
      <c r="B55" s="103"/>
      <c r="C55" s="103"/>
      <c r="D55" s="104"/>
      <c r="E55" s="92"/>
    </row>
    <row r="56" spans="1:5" ht="15.75" x14ac:dyDescent="0.2">
      <c r="A56" s="76" t="str">
        <f>CONCATENATE("Adjusted ",E1-1," State Distribution for Kansas Gas Tax")</f>
        <v>Adjusted 2025 State Distribution for Kansas Gas Tax</v>
      </c>
      <c r="B56" s="103"/>
      <c r="C56" s="103"/>
      <c r="D56" s="104"/>
      <c r="E56" s="92">
        <v>135420</v>
      </c>
    </row>
    <row r="57" spans="1:5" ht="15.75" x14ac:dyDescent="0.2">
      <c r="A57" s="76" t="str">
        <f>CONCATENATE("Adjusted ",E1-1," County Transfers for Gas**")</f>
        <v>Adjusted 2025 County Transfers for Gas**</v>
      </c>
      <c r="B57" s="103"/>
      <c r="C57" s="103"/>
      <c r="D57" s="104"/>
      <c r="E57" s="92"/>
    </row>
    <row r="58" spans="1:5" x14ac:dyDescent="0.2">
      <c r="A58" s="608" t="s">
        <v>133</v>
      </c>
      <c r="B58" s="609"/>
      <c r="C58" s="609"/>
      <c r="D58" s="609"/>
      <c r="E58" s="610"/>
    </row>
    <row r="59" spans="1:5" x14ac:dyDescent="0.2">
      <c r="A59" s="457" t="s">
        <v>134</v>
      </c>
      <c r="B59" s="458"/>
      <c r="C59" s="458"/>
      <c r="D59" s="458"/>
      <c r="E59" s="459"/>
    </row>
    <row r="60" spans="1:5" x14ac:dyDescent="0.2">
      <c r="A60" s="73"/>
      <c r="B60" s="73"/>
      <c r="C60" s="73"/>
      <c r="D60" s="73"/>
      <c r="E60" s="73"/>
    </row>
    <row r="61" spans="1:5" ht="15.75" x14ac:dyDescent="0.2">
      <c r="A61" s="611" t="str">
        <f>CONCATENATE("From the ",E1-2," Budget Certificate Page")</f>
        <v>From the 2024 Budget Certificate Page</v>
      </c>
      <c r="B61" s="612"/>
      <c r="C61" s="73"/>
      <c r="D61" s="73"/>
      <c r="E61" s="73"/>
    </row>
    <row r="62" spans="1:5" ht="15.75" x14ac:dyDescent="0.2">
      <c r="A62" s="68"/>
      <c r="B62" s="68" t="str">
        <f>CONCATENATE("",E1-2," Expenditure Amounts")</f>
        <v>2024 Expenditure Amounts</v>
      </c>
      <c r="C62" s="606" t="str">
        <f>CONCATENATE("Note: If the ",E1-2," budget was amended, then the")</f>
        <v>Note: If the 2024 budget was amended, then the</v>
      </c>
      <c r="D62" s="607"/>
      <c r="E62" s="607"/>
    </row>
    <row r="63" spans="1:5" ht="15.75" x14ac:dyDescent="0.2">
      <c r="A63" s="105" t="s">
        <v>135</v>
      </c>
      <c r="B63" s="105" t="s">
        <v>136</v>
      </c>
      <c r="C63" s="556" t="s">
        <v>137</v>
      </c>
      <c r="D63" s="106"/>
      <c r="E63" s="106"/>
    </row>
    <row r="64" spans="1:5" ht="15.75" x14ac:dyDescent="0.2">
      <c r="A64" s="47" t="str">
        <f>inputPrYr!B17</f>
        <v>General</v>
      </c>
      <c r="B64" s="92">
        <v>6446365</v>
      </c>
      <c r="C64" s="556" t="s">
        <v>138</v>
      </c>
      <c r="D64" s="106"/>
      <c r="E64" s="106"/>
    </row>
    <row r="65" spans="1:5" ht="15.75" x14ac:dyDescent="0.2">
      <c r="A65" s="47" t="str">
        <f>inputPrYr!B18</f>
        <v>Debt Service</v>
      </c>
      <c r="B65" s="92">
        <v>776374</v>
      </c>
      <c r="C65" s="556"/>
      <c r="D65" s="106"/>
      <c r="E65" s="106"/>
    </row>
    <row r="66" spans="1:5" ht="15.75" x14ac:dyDescent="0.2">
      <c r="A66" s="47" t="str">
        <f>inputPrYr!B19</f>
        <v>Library</v>
      </c>
      <c r="B66" s="92">
        <v>192202</v>
      </c>
      <c r="C66" s="73"/>
      <c r="D66" s="73"/>
      <c r="E66" s="73"/>
    </row>
    <row r="67" spans="1:5" ht="15.75" x14ac:dyDescent="0.2">
      <c r="A67" s="47" t="str">
        <f>inputPrYr!B21</f>
        <v>Library Employee Benefit</v>
      </c>
      <c r="B67" s="92">
        <v>68437</v>
      </c>
      <c r="C67" s="73"/>
      <c r="D67" s="73"/>
      <c r="E67" s="73"/>
    </row>
    <row r="68" spans="1:5" ht="15.75" x14ac:dyDescent="0.2">
      <c r="A68" s="47" t="str">
        <f>inputPrYr!B22</f>
        <v>Economic Development</v>
      </c>
      <c r="B68" s="92">
        <v>60000</v>
      </c>
      <c r="C68" s="73"/>
      <c r="D68" s="73"/>
      <c r="E68" s="73"/>
    </row>
    <row r="69" spans="1:5" ht="15.75" x14ac:dyDescent="0.2">
      <c r="A69" s="47">
        <f>inputPrYr!B23</f>
        <v>0</v>
      </c>
      <c r="B69" s="92"/>
      <c r="C69" s="73"/>
      <c r="D69" s="73"/>
      <c r="E69" s="73"/>
    </row>
    <row r="70" spans="1:5" ht="15.75" x14ac:dyDescent="0.2">
      <c r="A70" s="47">
        <f>inputPrYr!B24</f>
        <v>0</v>
      </c>
      <c r="B70" s="92"/>
      <c r="C70" s="73"/>
      <c r="D70" s="73"/>
      <c r="E70" s="73"/>
    </row>
    <row r="71" spans="1:5" ht="15.75" x14ac:dyDescent="0.2">
      <c r="A71" s="47">
        <f>inputPrYr!B25</f>
        <v>0</v>
      </c>
      <c r="B71" s="92"/>
      <c r="C71" s="73"/>
      <c r="D71" s="73"/>
      <c r="E71" s="73"/>
    </row>
    <row r="72" spans="1:5" ht="15.75" x14ac:dyDescent="0.2">
      <c r="A72" s="47">
        <f>inputPrYr!B26</f>
        <v>0</v>
      </c>
      <c r="B72" s="92"/>
      <c r="C72" s="73"/>
      <c r="D72" s="73"/>
      <c r="E72" s="73"/>
    </row>
    <row r="73" spans="1:5" ht="15.75" x14ac:dyDescent="0.2">
      <c r="A73" s="47">
        <f>inputPrYr!B27</f>
        <v>0</v>
      </c>
      <c r="B73" s="92"/>
      <c r="C73" s="73"/>
      <c r="D73" s="73"/>
      <c r="E73" s="73"/>
    </row>
    <row r="74" spans="1:5" ht="15.75" x14ac:dyDescent="0.2">
      <c r="A74" s="47">
        <f>inputPrYr!B28</f>
        <v>0</v>
      </c>
      <c r="B74" s="92"/>
      <c r="C74" s="73"/>
      <c r="D74" s="73"/>
      <c r="E74" s="73"/>
    </row>
    <row r="75" spans="1:5" ht="15.75" x14ac:dyDescent="0.2">
      <c r="A75" s="47">
        <f>inputPrYr!B29</f>
        <v>0</v>
      </c>
      <c r="B75" s="92"/>
      <c r="C75" s="73"/>
      <c r="D75" s="73"/>
      <c r="E75" s="73"/>
    </row>
    <row r="76" spans="1:5" ht="15.75" x14ac:dyDescent="0.2">
      <c r="A76" s="47">
        <f>inputPrYr!B30</f>
        <v>0</v>
      </c>
      <c r="B76" s="92"/>
      <c r="C76" s="73"/>
      <c r="D76" s="73"/>
      <c r="E76" s="73"/>
    </row>
    <row r="77" spans="1:5" ht="15.75" x14ac:dyDescent="0.2">
      <c r="A77" s="47" t="str">
        <f>inputPrYr!B34</f>
        <v>Special Highway</v>
      </c>
      <c r="B77" s="92">
        <v>382796</v>
      </c>
      <c r="C77" s="73"/>
      <c r="D77" s="73"/>
      <c r="E77" s="73"/>
    </row>
    <row r="78" spans="1:5" ht="15.75" x14ac:dyDescent="0.2">
      <c r="A78" s="47" t="str">
        <f>inputPrYr!B35</f>
        <v>RHID</v>
      </c>
      <c r="B78" s="92">
        <v>0</v>
      </c>
      <c r="C78" s="73"/>
      <c r="D78" s="73"/>
      <c r="E78" s="73"/>
    </row>
    <row r="79" spans="1:5" ht="15.75" x14ac:dyDescent="0.2">
      <c r="A79" s="47" t="str">
        <f>inputPrYr!B36</f>
        <v>Special Parks &amp; Rec</v>
      </c>
      <c r="B79" s="92">
        <v>25246</v>
      </c>
      <c r="C79" s="73"/>
      <c r="D79" s="73"/>
      <c r="E79" s="73"/>
    </row>
    <row r="80" spans="1:5" ht="15.75" x14ac:dyDescent="0.2">
      <c r="A80" s="47" t="str">
        <f>inputPrYr!B37</f>
        <v>911 PSAP</v>
      </c>
      <c r="B80" s="92">
        <v>128997</v>
      </c>
      <c r="C80" s="73"/>
      <c r="D80" s="73"/>
      <c r="E80" s="73"/>
    </row>
    <row r="81" spans="1:5" ht="15.75" x14ac:dyDescent="0.2">
      <c r="A81" s="47">
        <f>inputPrYr!B38</f>
        <v>0</v>
      </c>
      <c r="B81" s="92"/>
      <c r="C81" s="73"/>
      <c r="D81" s="73"/>
      <c r="E81" s="73"/>
    </row>
    <row r="82" spans="1:5" ht="15.75" x14ac:dyDescent="0.2">
      <c r="A82" s="47">
        <f>inputPrYr!B39</f>
        <v>0</v>
      </c>
      <c r="B82" s="92"/>
      <c r="C82" s="73"/>
      <c r="D82" s="73"/>
      <c r="E82" s="73"/>
    </row>
    <row r="83" spans="1:5" ht="15.75" x14ac:dyDescent="0.2">
      <c r="A83" s="47">
        <f>inputPrYr!B40</f>
        <v>0</v>
      </c>
      <c r="B83" s="92"/>
      <c r="C83" s="73"/>
      <c r="D83" s="73"/>
      <c r="E83" s="73"/>
    </row>
    <row r="84" spans="1:5" ht="15.75" x14ac:dyDescent="0.2">
      <c r="A84" s="47">
        <f>inputPrYr!B41</f>
        <v>0</v>
      </c>
      <c r="B84" s="92"/>
      <c r="C84" s="73"/>
      <c r="D84" s="73"/>
      <c r="E84" s="73"/>
    </row>
    <row r="85" spans="1:5" ht="15.75" x14ac:dyDescent="0.2">
      <c r="A85" s="47">
        <f>inputPrYr!B42</f>
        <v>0</v>
      </c>
      <c r="B85" s="92"/>
      <c r="C85" s="73"/>
      <c r="D85" s="73"/>
      <c r="E85" s="73"/>
    </row>
    <row r="86" spans="1:5" ht="15.75" x14ac:dyDescent="0.2">
      <c r="A86" s="47">
        <f>inputPrYr!B43</f>
        <v>0</v>
      </c>
      <c r="B86" s="92"/>
      <c r="C86" s="73"/>
      <c r="D86" s="73"/>
      <c r="E86" s="73"/>
    </row>
    <row r="87" spans="1:5" ht="15.75" x14ac:dyDescent="0.2">
      <c r="A87" s="47">
        <f>inputPrYr!B44</f>
        <v>0</v>
      </c>
      <c r="B87" s="92"/>
      <c r="C87" s="73"/>
      <c r="D87" s="73"/>
      <c r="E87" s="73"/>
    </row>
    <row r="88" spans="1:5" ht="15.75" x14ac:dyDescent="0.2">
      <c r="A88" s="47">
        <f>inputPrYr!B45</f>
        <v>0</v>
      </c>
      <c r="B88" s="92"/>
      <c r="C88" s="73"/>
      <c r="D88" s="73"/>
      <c r="E88" s="73"/>
    </row>
    <row r="89" spans="1:5" ht="15.75" x14ac:dyDescent="0.2">
      <c r="A89" s="47" t="str">
        <f>inputPrYr!B47</f>
        <v>Water &amp; Sewer Utility</v>
      </c>
      <c r="B89" s="92">
        <v>2490623</v>
      </c>
      <c r="C89" s="73"/>
      <c r="D89" s="73"/>
      <c r="E89" s="73"/>
    </row>
    <row r="90" spans="1:5" ht="15.75" x14ac:dyDescent="0.2">
      <c r="A90" s="47" t="str">
        <f>inputPrYr!B48</f>
        <v>Gas Utility</v>
      </c>
      <c r="B90" s="92">
        <v>40035</v>
      </c>
      <c r="C90" s="73"/>
      <c r="D90" s="73"/>
      <c r="E90" s="73"/>
    </row>
    <row r="91" spans="1:5" ht="15.75" x14ac:dyDescent="0.2">
      <c r="A91" s="47">
        <f>inputPrYr!B49</f>
        <v>0</v>
      </c>
      <c r="B91" s="92"/>
      <c r="C91" s="73"/>
      <c r="D91" s="73"/>
      <c r="E91" s="73"/>
    </row>
    <row r="92" spans="1:5" ht="15.75" x14ac:dyDescent="0.2">
      <c r="A92" s="47">
        <f>inputPrYr!B50</f>
        <v>0</v>
      </c>
      <c r="B92" s="92"/>
      <c r="C92" s="73"/>
      <c r="D92" s="73"/>
      <c r="E92" s="73"/>
    </row>
  </sheetData>
  <mergeCells count="7">
    <mergeCell ref="C62:E62"/>
    <mergeCell ref="A24:B24"/>
    <mergeCell ref="A58:E58"/>
    <mergeCell ref="A3:E3"/>
    <mergeCell ref="A61:B61"/>
    <mergeCell ref="A50:D50"/>
    <mergeCell ref="A53:E53"/>
  </mergeCells>
  <phoneticPr fontId="9" type="noConversion"/>
  <pageMargins left="0.75" right="0.75" top="1" bottom="1" header="0.5" footer="0.5"/>
  <pageSetup scale="51" orientation="portrait"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3D03-AAB2-491B-82E9-D7ED125E4085}">
  <dimension ref="A1"/>
  <sheetViews>
    <sheetView workbookViewId="0">
      <selection activeCell="P15" sqref="P15"/>
    </sheetView>
  </sheetViews>
  <sheetFormatPr defaultRowHeight="15" x14ac:dyDescent="0.2"/>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BBD9-3CE1-4C9D-A997-F41DB8AF84B0}">
  <sheetPr codeName="Sheet37"/>
  <dimension ref="A1:N245"/>
  <sheetViews>
    <sheetView workbookViewId="0">
      <selection sqref="A1:N2"/>
    </sheetView>
  </sheetViews>
  <sheetFormatPr defaultRowHeight="15" x14ac:dyDescent="0.2"/>
  <cols>
    <col min="1" max="1" width="3.44140625" customWidth="1"/>
    <col min="2" max="2" width="8" customWidth="1"/>
  </cols>
  <sheetData>
    <row r="1" spans="1:14" ht="15.75" customHeight="1" x14ac:dyDescent="0.2">
      <c r="A1" s="729" t="s">
        <v>430</v>
      </c>
      <c r="B1" s="729"/>
      <c r="C1" s="729"/>
      <c r="D1" s="729"/>
      <c r="E1" s="729"/>
      <c r="F1" s="729"/>
      <c r="G1" s="729"/>
      <c r="H1" s="729"/>
      <c r="I1" s="729"/>
      <c r="J1" s="729"/>
      <c r="K1" s="729"/>
      <c r="L1" s="729"/>
      <c r="M1" s="729"/>
      <c r="N1" s="729"/>
    </row>
    <row r="2" spans="1:14" ht="9.75" customHeight="1" x14ac:dyDescent="0.2">
      <c r="A2" s="729"/>
      <c r="B2" s="729"/>
      <c r="C2" s="729"/>
      <c r="D2" s="729"/>
      <c r="E2" s="729"/>
      <c r="F2" s="729"/>
      <c r="G2" s="729"/>
      <c r="H2" s="729"/>
      <c r="I2" s="729"/>
      <c r="J2" s="729"/>
      <c r="K2" s="729"/>
      <c r="L2" s="729"/>
      <c r="M2" s="729"/>
      <c r="N2" s="729"/>
    </row>
    <row r="3" spans="1:14" ht="18" x14ac:dyDescent="0.25">
      <c r="A3" s="536" t="s">
        <v>121</v>
      </c>
    </row>
    <row r="4" spans="1:14" ht="9.75" customHeight="1" x14ac:dyDescent="0.55000000000000004">
      <c r="B4" s="537"/>
    </row>
    <row r="5" spans="1:14" ht="15.75" x14ac:dyDescent="0.2">
      <c r="B5" s="538" t="s">
        <v>431</v>
      </c>
    </row>
    <row r="6" spans="1:14" ht="8.1" customHeight="1" x14ac:dyDescent="0.2">
      <c r="B6" s="538"/>
    </row>
    <row r="7" spans="1:14" ht="15.75" x14ac:dyDescent="0.2">
      <c r="B7" s="538" t="s">
        <v>432</v>
      </c>
    </row>
    <row r="8" spans="1:14" ht="15.75" x14ac:dyDescent="0.2">
      <c r="B8" s="539" t="s">
        <v>433</v>
      </c>
    </row>
    <row r="9" spans="1:14" ht="8.1" customHeight="1" x14ac:dyDescent="0.2">
      <c r="B9" s="539"/>
    </row>
    <row r="10" spans="1:14" ht="15.75" x14ac:dyDescent="0.2">
      <c r="C10" s="540" t="s">
        <v>434</v>
      </c>
      <c r="D10" s="538" t="s">
        <v>435</v>
      </c>
    </row>
    <row r="11" spans="1:14" ht="15.75" customHeight="1" x14ac:dyDescent="0.2">
      <c r="B11" s="538"/>
      <c r="D11" s="538" t="s">
        <v>436</v>
      </c>
    </row>
    <row r="12" spans="1:14" ht="15.75" customHeight="1" x14ac:dyDescent="0.2">
      <c r="B12" s="538"/>
      <c r="D12" s="538"/>
    </row>
    <row r="13" spans="1:14" ht="15.75" customHeight="1" x14ac:dyDescent="0.2">
      <c r="B13" s="538" t="s">
        <v>437</v>
      </c>
      <c r="E13" s="538" t="s">
        <v>438</v>
      </c>
    </row>
    <row r="14" spans="1:14" ht="15.75" customHeight="1" x14ac:dyDescent="0.2">
      <c r="B14" s="538"/>
      <c r="E14" s="538" t="s">
        <v>439</v>
      </c>
    </row>
    <row r="15" spans="1:14" ht="15.75" customHeight="1" x14ac:dyDescent="0.2">
      <c r="B15" s="538"/>
      <c r="E15" s="538" t="s">
        <v>440</v>
      </c>
    </row>
    <row r="16" spans="1:14" ht="15.75" customHeight="1" x14ac:dyDescent="0.2">
      <c r="B16" s="538"/>
      <c r="E16" s="538" t="s">
        <v>441</v>
      </c>
    </row>
    <row r="17" spans="2:5" ht="15.75" customHeight="1" x14ac:dyDescent="0.2">
      <c r="B17" s="538"/>
      <c r="E17" s="538"/>
    </row>
    <row r="18" spans="2:5" ht="15.75" customHeight="1" x14ac:dyDescent="0.2">
      <c r="B18" s="538"/>
      <c r="E18" s="538"/>
    </row>
    <row r="19" spans="2:5" ht="15.75" customHeight="1" x14ac:dyDescent="0.2">
      <c r="B19" s="538"/>
      <c r="E19" s="538"/>
    </row>
    <row r="20" spans="2:5" ht="15.75" customHeight="1" x14ac:dyDescent="0.2">
      <c r="B20" s="538"/>
      <c r="E20" s="538"/>
    </row>
    <row r="21" spans="2:5" ht="15.75" customHeight="1" x14ac:dyDescent="0.2">
      <c r="B21" s="538"/>
      <c r="E21" s="538"/>
    </row>
    <row r="22" spans="2:5" ht="15.75" customHeight="1" x14ac:dyDescent="0.2">
      <c r="B22" s="538"/>
      <c r="E22" s="538"/>
    </row>
    <row r="23" spans="2:5" ht="15.75" customHeight="1" x14ac:dyDescent="0.2">
      <c r="B23" s="538"/>
      <c r="E23" s="538"/>
    </row>
    <row r="24" spans="2:5" ht="15.75" customHeight="1" x14ac:dyDescent="0.2">
      <c r="B24" s="538"/>
      <c r="E24" s="538"/>
    </row>
    <row r="25" spans="2:5" ht="15.75" customHeight="1" x14ac:dyDescent="0.2">
      <c r="B25" s="538"/>
      <c r="E25" s="538"/>
    </row>
    <row r="26" spans="2:5" ht="15.75" customHeight="1" x14ac:dyDescent="0.2">
      <c r="B26" s="538"/>
      <c r="E26" s="538"/>
    </row>
    <row r="27" spans="2:5" ht="15.75" customHeight="1" x14ac:dyDescent="0.2">
      <c r="B27" s="538"/>
      <c r="E27" s="538"/>
    </row>
    <row r="28" spans="2:5" ht="15.75" customHeight="1" x14ac:dyDescent="0.2">
      <c r="B28" s="538"/>
      <c r="E28" s="538"/>
    </row>
    <row r="29" spans="2:5" ht="15.75" customHeight="1" x14ac:dyDescent="0.2">
      <c r="B29" s="538"/>
      <c r="E29" s="538"/>
    </row>
    <row r="30" spans="2:5" ht="15.75" customHeight="1" x14ac:dyDescent="0.2">
      <c r="B30" s="538"/>
      <c r="E30" s="538"/>
    </row>
    <row r="31" spans="2:5" ht="15.75" customHeight="1" x14ac:dyDescent="0.2">
      <c r="B31" s="538"/>
      <c r="E31" s="538"/>
    </row>
    <row r="32" spans="2:5" ht="15.75" customHeight="1" x14ac:dyDescent="0.2">
      <c r="B32" s="538"/>
      <c r="E32" s="538"/>
    </row>
    <row r="33" spans="2:5" ht="15.75" customHeight="1" x14ac:dyDescent="0.2">
      <c r="B33" s="538"/>
      <c r="E33" s="538"/>
    </row>
    <row r="34" spans="2:5" ht="15.75" customHeight="1" x14ac:dyDescent="0.2">
      <c r="B34" s="538"/>
      <c r="E34" s="538"/>
    </row>
    <row r="35" spans="2:5" ht="15.75" customHeight="1" x14ac:dyDescent="0.2">
      <c r="B35" s="538"/>
      <c r="E35" s="538"/>
    </row>
    <row r="36" spans="2:5" ht="15.75" customHeight="1" x14ac:dyDescent="0.2">
      <c r="B36" s="538" t="s">
        <v>442</v>
      </c>
      <c r="D36" s="538"/>
      <c r="E36" s="538" t="s">
        <v>443</v>
      </c>
    </row>
    <row r="37" spans="2:5" ht="15.75" customHeight="1" x14ac:dyDescent="0.2">
      <c r="B37" s="538"/>
      <c r="D37" s="538"/>
      <c r="E37" s="538" t="s">
        <v>444</v>
      </c>
    </row>
    <row r="38" spans="2:5" ht="15.75" customHeight="1" x14ac:dyDescent="0.2">
      <c r="B38" s="538"/>
      <c r="D38" s="538"/>
      <c r="E38" s="538" t="s">
        <v>445</v>
      </c>
    </row>
    <row r="39" spans="2:5" ht="15.75" customHeight="1" x14ac:dyDescent="0.2">
      <c r="B39" s="538"/>
      <c r="D39" s="538"/>
      <c r="E39" s="538" t="s">
        <v>446</v>
      </c>
    </row>
    <row r="40" spans="2:5" ht="15.75" customHeight="1" x14ac:dyDescent="0.2"/>
    <row r="41" spans="2:5" ht="15.75" customHeight="1" x14ac:dyDescent="0.2">
      <c r="B41" s="538" t="s">
        <v>121</v>
      </c>
      <c r="E41" s="541" t="s">
        <v>447</v>
      </c>
    </row>
    <row r="42" spans="2:5" ht="15.75" customHeight="1" x14ac:dyDescent="0.2">
      <c r="B42" s="538"/>
      <c r="E42" s="541"/>
    </row>
    <row r="43" spans="2:5" ht="15.75" customHeight="1" x14ac:dyDescent="0.2">
      <c r="E43" s="541"/>
    </row>
    <row r="44" spans="2:5" ht="15.75" customHeight="1" x14ac:dyDescent="0.2">
      <c r="B44" s="538" t="s">
        <v>448</v>
      </c>
      <c r="D44" s="538"/>
      <c r="E44" s="541" t="s">
        <v>449</v>
      </c>
    </row>
    <row r="45" spans="2:5" ht="15.75" customHeight="1" x14ac:dyDescent="0.2">
      <c r="B45" s="538"/>
      <c r="D45" s="538"/>
      <c r="E45" s="538"/>
    </row>
    <row r="46" spans="2:5" ht="15.75" customHeight="1" x14ac:dyDescent="0.2">
      <c r="B46" s="538"/>
      <c r="D46" s="538"/>
    </row>
    <row r="47" spans="2:5" ht="15.75" customHeight="1" x14ac:dyDescent="0.2">
      <c r="B47" s="538"/>
      <c r="D47" s="538"/>
    </row>
    <row r="48" spans="2:5" ht="15.75" customHeight="1" x14ac:dyDescent="0.2">
      <c r="B48" s="538"/>
      <c r="D48" s="538"/>
    </row>
    <row r="49" spans="1:14" ht="15.75" customHeight="1" x14ac:dyDescent="0.2">
      <c r="B49" s="538"/>
      <c r="D49" s="538"/>
    </row>
    <row r="50" spans="1:14" ht="15.75" customHeight="1" x14ac:dyDescent="0.2">
      <c r="B50" s="538"/>
      <c r="D50" s="538"/>
    </row>
    <row r="51" spans="1:14" ht="15.75" customHeight="1" x14ac:dyDescent="0.2">
      <c r="B51" s="538"/>
      <c r="D51" s="538"/>
    </row>
    <row r="52" spans="1:14" ht="15.75" customHeight="1" x14ac:dyDescent="0.2">
      <c r="B52" s="538"/>
      <c r="D52" s="538"/>
    </row>
    <row r="53" spans="1:14" ht="15.75" customHeight="1" x14ac:dyDescent="0.2">
      <c r="B53" s="538"/>
      <c r="D53" s="538"/>
    </row>
    <row r="54" spans="1:14" ht="15.75" customHeight="1" x14ac:dyDescent="0.2">
      <c r="B54" s="538"/>
      <c r="D54" s="538"/>
    </row>
    <row r="55" spans="1:14" ht="15.75" customHeight="1" x14ac:dyDescent="0.2">
      <c r="B55" s="538"/>
    </row>
    <row r="56" spans="1:14" ht="15.75" customHeight="1" x14ac:dyDescent="0.2">
      <c r="B56" s="538"/>
    </row>
    <row r="57" spans="1:14" ht="15.75" customHeight="1" x14ac:dyDescent="0.2">
      <c r="B57" s="538"/>
    </row>
    <row r="58" spans="1:14" ht="15.75" customHeight="1" x14ac:dyDescent="0.2">
      <c r="B58" s="538"/>
    </row>
    <row r="59" spans="1:14" ht="3" customHeight="1" x14ac:dyDescent="0.2">
      <c r="A59" s="542"/>
      <c r="B59" s="543"/>
      <c r="C59" s="542"/>
      <c r="D59" s="542"/>
      <c r="E59" s="542"/>
      <c r="F59" s="542"/>
      <c r="G59" s="542"/>
      <c r="H59" s="542"/>
      <c r="I59" s="542"/>
      <c r="J59" s="542"/>
      <c r="K59" s="542"/>
      <c r="L59" s="542"/>
      <c r="M59" s="542"/>
      <c r="N59" s="542"/>
    </row>
    <row r="60" spans="1:14" ht="15.75" customHeight="1" x14ac:dyDescent="0.2">
      <c r="B60" s="538"/>
    </row>
    <row r="61" spans="1:14" ht="15.75" customHeight="1" x14ac:dyDescent="0.25">
      <c r="A61" s="727" t="s">
        <v>450</v>
      </c>
      <c r="B61" s="727"/>
      <c r="C61" s="727"/>
      <c r="D61" s="727"/>
      <c r="E61" s="727"/>
      <c r="F61" s="727"/>
      <c r="G61" s="727"/>
      <c r="H61" s="727"/>
      <c r="I61" s="727"/>
      <c r="J61" s="727"/>
      <c r="K61" s="544"/>
    </row>
    <row r="62" spans="1:14" ht="21.75" customHeight="1" x14ac:dyDescent="0.25">
      <c r="A62" s="727"/>
      <c r="B62" s="727"/>
      <c r="C62" s="727"/>
      <c r="D62" s="727"/>
      <c r="E62" s="727"/>
      <c r="F62" s="727"/>
      <c r="G62" s="727"/>
      <c r="H62" s="727"/>
      <c r="I62" s="727"/>
      <c r="J62" s="727"/>
      <c r="K62" s="544"/>
    </row>
    <row r="63" spans="1:14" ht="15.75" customHeight="1" x14ac:dyDescent="0.2">
      <c r="B63" s="538"/>
    </row>
    <row r="64" spans="1:14" ht="15.75" x14ac:dyDescent="0.2">
      <c r="B64" s="538"/>
    </row>
    <row r="65" spans="2:2" ht="18.75" customHeight="1" x14ac:dyDescent="0.2">
      <c r="B65" s="538"/>
    </row>
    <row r="66" spans="2:2" ht="13.5" customHeight="1" x14ac:dyDescent="0.2">
      <c r="B66" s="538"/>
    </row>
    <row r="67" spans="2:2" ht="15.75" x14ac:dyDescent="0.2">
      <c r="B67" s="538"/>
    </row>
    <row r="82" spans="12:12" x14ac:dyDescent="0.2">
      <c r="L82" s="545"/>
    </row>
    <row r="214" spans="1:14" ht="3" customHeight="1" x14ac:dyDescent="0.2">
      <c r="A214" s="542"/>
      <c r="B214" s="543"/>
      <c r="C214" s="542"/>
      <c r="D214" s="542"/>
      <c r="E214" s="542"/>
      <c r="F214" s="542"/>
      <c r="G214" s="542"/>
      <c r="H214" s="542"/>
      <c r="I214" s="542"/>
      <c r="J214" s="542"/>
      <c r="K214" s="542"/>
      <c r="L214" s="542"/>
      <c r="M214" s="542"/>
      <c r="N214" s="542"/>
    </row>
    <row r="217" spans="1:14" ht="18" x14ac:dyDescent="0.25">
      <c r="A217" s="546" t="s">
        <v>451</v>
      </c>
      <c r="B217" s="547"/>
    </row>
    <row r="218" spans="1:14" ht="15.75" x14ac:dyDescent="0.25">
      <c r="B218" s="1"/>
    </row>
    <row r="219" spans="1:14" ht="30" customHeight="1" x14ac:dyDescent="0.25">
      <c r="B219" s="728" t="s">
        <v>452</v>
      </c>
      <c r="C219" s="728"/>
      <c r="D219" s="728"/>
      <c r="E219" s="728"/>
      <c r="F219" s="728"/>
      <c r="G219" s="728"/>
      <c r="H219" s="728"/>
      <c r="I219" s="728"/>
      <c r="J219" s="577"/>
    </row>
    <row r="220" spans="1:14" ht="15.75" x14ac:dyDescent="0.25">
      <c r="B220" s="261" t="s">
        <v>453</v>
      </c>
    </row>
    <row r="221" spans="1:14" ht="15.75" x14ac:dyDescent="0.25">
      <c r="B221" s="1"/>
    </row>
    <row r="222" spans="1:14" ht="45.75" customHeight="1" x14ac:dyDescent="0.25">
      <c r="B222" s="728" t="s">
        <v>454</v>
      </c>
      <c r="C222" s="728"/>
      <c r="D222" s="728"/>
      <c r="E222" s="728"/>
      <c r="F222" s="728"/>
      <c r="G222" s="728"/>
      <c r="H222" s="728"/>
    </row>
    <row r="223" spans="1:14" ht="15.75" x14ac:dyDescent="0.25">
      <c r="B223" s="261" t="s">
        <v>455</v>
      </c>
    </row>
    <row r="224" spans="1:14" ht="15.75" x14ac:dyDescent="0.25">
      <c r="B224" s="1"/>
    </row>
    <row r="225" spans="2:2" ht="15.75" x14ac:dyDescent="0.25">
      <c r="B225" s="1" t="s">
        <v>456</v>
      </c>
    </row>
    <row r="226" spans="2:2" ht="15.75" x14ac:dyDescent="0.25">
      <c r="B226" s="261" t="s">
        <v>457</v>
      </c>
    </row>
    <row r="227" spans="2:2" ht="15.75" x14ac:dyDescent="0.25">
      <c r="B227" s="1"/>
    </row>
    <row r="228" spans="2:2" ht="15.75" x14ac:dyDescent="0.25">
      <c r="B228" s="1" t="s">
        <v>458</v>
      </c>
    </row>
    <row r="229" spans="2:2" ht="15.75" x14ac:dyDescent="0.25">
      <c r="B229" s="261" t="s">
        <v>459</v>
      </c>
    </row>
    <row r="230" spans="2:2" ht="15.75" x14ac:dyDescent="0.25">
      <c r="B230" s="1"/>
    </row>
    <row r="231" spans="2:2" ht="15.75" x14ac:dyDescent="0.25">
      <c r="B231" s="1" t="s">
        <v>460</v>
      </c>
    </row>
    <row r="232" spans="2:2" ht="15.75" x14ac:dyDescent="0.25">
      <c r="B232" s="261" t="s">
        <v>461</v>
      </c>
    </row>
    <row r="233" spans="2:2" ht="15.75" x14ac:dyDescent="0.25">
      <c r="B233" s="1"/>
    </row>
    <row r="234" spans="2:2" ht="15.75" x14ac:dyDescent="0.25">
      <c r="B234" s="1" t="s">
        <v>462</v>
      </c>
    </row>
    <row r="235" spans="2:2" ht="15.75" x14ac:dyDescent="0.25">
      <c r="B235" s="261" t="s">
        <v>463</v>
      </c>
    </row>
    <row r="236" spans="2:2" ht="15.75" x14ac:dyDescent="0.25">
      <c r="B236" s="1"/>
    </row>
    <row r="237" spans="2:2" ht="15.75" x14ac:dyDescent="0.25">
      <c r="B237" s="1" t="s">
        <v>464</v>
      </c>
    </row>
    <row r="238" spans="2:2" ht="15.75" x14ac:dyDescent="0.25">
      <c r="B238" s="261" t="s">
        <v>465</v>
      </c>
    </row>
    <row r="239" spans="2:2" ht="15.75" x14ac:dyDescent="0.25">
      <c r="B239" s="1"/>
    </row>
    <row r="240" spans="2:2" ht="15.75" x14ac:dyDescent="0.25">
      <c r="B240" s="1" t="s">
        <v>466</v>
      </c>
    </row>
    <row r="241" spans="2:2" ht="15.75" x14ac:dyDescent="0.25">
      <c r="B241" s="261" t="s">
        <v>467</v>
      </c>
    </row>
    <row r="242" spans="2:2" ht="15.75" x14ac:dyDescent="0.25">
      <c r="B242" s="1"/>
    </row>
    <row r="243" spans="2:2" ht="15.75" x14ac:dyDescent="0.25">
      <c r="B243" s="1" t="s">
        <v>468</v>
      </c>
    </row>
    <row r="244" spans="2:2" ht="15.75" x14ac:dyDescent="0.25">
      <c r="B244" s="261" t="s">
        <v>469</v>
      </c>
    </row>
    <row r="245" spans="2:2" ht="15.75" x14ac:dyDescent="0.25">
      <c r="B245" s="1"/>
    </row>
  </sheetData>
  <sheetProtection sheet="1" objects="1" scenarios="1"/>
  <mergeCells count="4">
    <mergeCell ref="A61:J62"/>
    <mergeCell ref="B219:I219"/>
    <mergeCell ref="B222:H222"/>
    <mergeCell ref="A1:N2"/>
  </mergeCells>
  <hyperlinks>
    <hyperlink ref="B244" r:id="rId1" xr:uid="{31384DB0-4A78-4A6C-9D1E-8E56B8DE5B78}"/>
  </hyperlinks>
  <pageMargins left="0.7" right="0.7" top="0.75" bottom="0.75" header="0.3" footer="0.3"/>
  <pageSetup orientation="landscape"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16FBB-EF16-47F8-BF0F-4834639552B2}">
  <sheetPr codeName="Sheet33"/>
  <dimension ref="A1:A323"/>
  <sheetViews>
    <sheetView workbookViewId="0">
      <selection activeCell="A6" sqref="A6"/>
    </sheetView>
  </sheetViews>
  <sheetFormatPr defaultColWidth="8.88671875" defaultRowHeight="15.75" x14ac:dyDescent="0.2"/>
  <cols>
    <col min="1" max="1" width="83.6640625" style="31" customWidth="1"/>
    <col min="2" max="16384" width="8.88671875" style="30"/>
  </cols>
  <sheetData>
    <row r="1" spans="1:1" x14ac:dyDescent="0.2">
      <c r="A1" s="530" t="s">
        <v>742</v>
      </c>
    </row>
    <row r="2" spans="1:1" ht="47.25" x14ac:dyDescent="0.2">
      <c r="A2" s="31" t="s">
        <v>743</v>
      </c>
    </row>
    <row r="3" spans="1:1" ht="31.5" x14ac:dyDescent="0.2">
      <c r="A3" s="31" t="s">
        <v>744</v>
      </c>
    </row>
    <row r="4" spans="1:1" x14ac:dyDescent="0.2">
      <c r="A4" s="502" t="s">
        <v>745</v>
      </c>
    </row>
    <row r="5" spans="1:1" ht="47.25" x14ac:dyDescent="0.2">
      <c r="A5" s="502" t="s">
        <v>746</v>
      </c>
    </row>
    <row r="7" spans="1:1" x14ac:dyDescent="0.2">
      <c r="A7" s="530" t="s">
        <v>737</v>
      </c>
    </row>
    <row r="8" spans="1:1" x14ac:dyDescent="0.2">
      <c r="A8" s="31" t="s">
        <v>738</v>
      </c>
    </row>
    <row r="9" spans="1:1" x14ac:dyDescent="0.2">
      <c r="A9" s="31" t="s">
        <v>739</v>
      </c>
    </row>
    <row r="10" spans="1:1" x14ac:dyDescent="0.2">
      <c r="A10" s="31" t="s">
        <v>740</v>
      </c>
    </row>
    <row r="12" spans="1:1" x14ac:dyDescent="0.2">
      <c r="A12" s="530" t="s">
        <v>735</v>
      </c>
    </row>
    <row r="13" spans="1:1" x14ac:dyDescent="0.2">
      <c r="A13" s="31" t="s">
        <v>736</v>
      </c>
    </row>
    <row r="15" spans="1:1" x14ac:dyDescent="0.2">
      <c r="A15" s="530" t="s">
        <v>470</v>
      </c>
    </row>
    <row r="16" spans="1:1" x14ac:dyDescent="0.2">
      <c r="A16" s="31" t="s">
        <v>471</v>
      </c>
    </row>
    <row r="17" spans="1:1" x14ac:dyDescent="0.2">
      <c r="A17" s="31" t="s">
        <v>472</v>
      </c>
    </row>
    <row r="18" spans="1:1" ht="17.25" customHeight="1" x14ac:dyDescent="0.2">
      <c r="A18" s="31" t="s">
        <v>473</v>
      </c>
    </row>
    <row r="19" spans="1:1" x14ac:dyDescent="0.2">
      <c r="A19" s="31" t="s">
        <v>474</v>
      </c>
    </row>
    <row r="20" spans="1:1" x14ac:dyDescent="0.2">
      <c r="A20" s="31" t="s">
        <v>475</v>
      </c>
    </row>
    <row r="22" spans="1:1" x14ac:dyDescent="0.2">
      <c r="A22" s="530" t="s">
        <v>476</v>
      </c>
    </row>
    <row r="23" spans="1:1" x14ac:dyDescent="0.2">
      <c r="A23" s="31" t="s">
        <v>477</v>
      </c>
    </row>
    <row r="24" spans="1:1" x14ac:dyDescent="0.2">
      <c r="A24" s="31" t="s">
        <v>478</v>
      </c>
    </row>
    <row r="25" spans="1:1" ht="31.5" x14ac:dyDescent="0.2">
      <c r="A25" s="31" t="s">
        <v>479</v>
      </c>
    </row>
    <row r="26" spans="1:1" ht="31.5" x14ac:dyDescent="0.2">
      <c r="A26" s="31" t="s">
        <v>480</v>
      </c>
    </row>
    <row r="27" spans="1:1" x14ac:dyDescent="0.2">
      <c r="A27" s="31" t="s">
        <v>481</v>
      </c>
    </row>
    <row r="28" spans="1:1" ht="31.5" x14ac:dyDescent="0.2">
      <c r="A28" s="31" t="s">
        <v>482</v>
      </c>
    </row>
    <row r="29" spans="1:1" x14ac:dyDescent="0.2">
      <c r="A29" s="31" t="s">
        <v>483</v>
      </c>
    </row>
    <row r="30" spans="1:1" x14ac:dyDescent="0.2">
      <c r="A30" s="31" t="s">
        <v>484</v>
      </c>
    </row>
    <row r="31" spans="1:1" x14ac:dyDescent="0.2">
      <c r="A31" s="31" t="s">
        <v>485</v>
      </c>
    </row>
    <row r="32" spans="1:1" x14ac:dyDescent="0.2">
      <c r="A32" s="31" t="s">
        <v>486</v>
      </c>
    </row>
    <row r="34" spans="1:1" x14ac:dyDescent="0.2">
      <c r="A34" s="530" t="s">
        <v>487</v>
      </c>
    </row>
    <row r="35" spans="1:1" x14ac:dyDescent="0.2">
      <c r="A35" s="31" t="s">
        <v>488</v>
      </c>
    </row>
    <row r="36" spans="1:1" x14ac:dyDescent="0.2">
      <c r="A36" s="31" t="s">
        <v>489</v>
      </c>
    </row>
    <row r="37" spans="1:1" x14ac:dyDescent="0.2">
      <c r="A37" s="31" t="s">
        <v>490</v>
      </c>
    </row>
    <row r="38" spans="1:1" x14ac:dyDescent="0.2">
      <c r="A38" s="31" t="s">
        <v>491</v>
      </c>
    </row>
    <row r="39" spans="1:1" x14ac:dyDescent="0.2">
      <c r="A39" s="31" t="s">
        <v>492</v>
      </c>
    </row>
    <row r="41" spans="1:1" x14ac:dyDescent="0.25">
      <c r="A41" s="548" t="s">
        <v>493</v>
      </c>
    </row>
    <row r="42" spans="1:1" x14ac:dyDescent="0.2">
      <c r="A42" s="31" t="s">
        <v>494</v>
      </c>
    </row>
    <row r="43" spans="1:1" ht="31.5" x14ac:dyDescent="0.2">
      <c r="A43" s="31" t="s">
        <v>495</v>
      </c>
    </row>
    <row r="44" spans="1:1" x14ac:dyDescent="0.2">
      <c r="A44" s="31" t="s">
        <v>496</v>
      </c>
    </row>
    <row r="45" spans="1:1" x14ac:dyDescent="0.2">
      <c r="A45" s="31" t="s">
        <v>497</v>
      </c>
    </row>
    <row r="46" spans="1:1" x14ac:dyDescent="0.2">
      <c r="A46" s="31" t="s">
        <v>498</v>
      </c>
    </row>
    <row r="49" spans="1:1" x14ac:dyDescent="0.25">
      <c r="A49" s="548" t="s">
        <v>499</v>
      </c>
    </row>
    <row r="50" spans="1:1" x14ac:dyDescent="0.2">
      <c r="A50" s="31" t="s">
        <v>500</v>
      </c>
    </row>
    <row r="51" spans="1:1" x14ac:dyDescent="0.2">
      <c r="A51" s="31" t="s">
        <v>501</v>
      </c>
    </row>
    <row r="52" spans="1:1" x14ac:dyDescent="0.2">
      <c r="A52" s="31" t="s">
        <v>502</v>
      </c>
    </row>
    <row r="53" spans="1:1" x14ac:dyDescent="0.2">
      <c r="A53" s="31" t="s">
        <v>503</v>
      </c>
    </row>
    <row r="54" spans="1:1" x14ac:dyDescent="0.2">
      <c r="A54" s="31" t="s">
        <v>504</v>
      </c>
    </row>
    <row r="55" spans="1:1" x14ac:dyDescent="0.2">
      <c r="A55" s="31" t="s">
        <v>505</v>
      </c>
    </row>
    <row r="57" spans="1:1" x14ac:dyDescent="0.25">
      <c r="A57" s="548" t="s">
        <v>506</v>
      </c>
    </row>
    <row r="58" spans="1:1" x14ac:dyDescent="0.2">
      <c r="A58" s="31" t="s">
        <v>507</v>
      </c>
    </row>
    <row r="59" spans="1:1" x14ac:dyDescent="0.2">
      <c r="A59" s="31" t="s">
        <v>508</v>
      </c>
    </row>
    <row r="60" spans="1:1" x14ac:dyDescent="0.2">
      <c r="A60" s="31" t="s">
        <v>509</v>
      </c>
    </row>
    <row r="61" spans="1:1" x14ac:dyDescent="0.2">
      <c r="A61" s="31" t="s">
        <v>510</v>
      </c>
    </row>
    <row r="62" spans="1:1" x14ac:dyDescent="0.2">
      <c r="A62" s="31" t="s">
        <v>511</v>
      </c>
    </row>
    <row r="63" spans="1:1" x14ac:dyDescent="0.2">
      <c r="A63" s="31" t="s">
        <v>512</v>
      </c>
    </row>
    <row r="64" spans="1:1" x14ac:dyDescent="0.2">
      <c r="A64" s="31" t="s">
        <v>513</v>
      </c>
    </row>
    <row r="65" spans="1:1" x14ac:dyDescent="0.2">
      <c r="A65" s="31" t="s">
        <v>514</v>
      </c>
    </row>
    <row r="67" spans="1:1" x14ac:dyDescent="0.25">
      <c r="A67" s="548" t="s">
        <v>515</v>
      </c>
    </row>
    <row r="68" spans="1:1" x14ac:dyDescent="0.2">
      <c r="A68" s="549" t="s">
        <v>516</v>
      </c>
    </row>
    <row r="69" spans="1:1" x14ac:dyDescent="0.2">
      <c r="A69" s="549" t="s">
        <v>517</v>
      </c>
    </row>
    <row r="71" spans="1:1" x14ac:dyDescent="0.25">
      <c r="A71" s="550" t="s">
        <v>518</v>
      </c>
    </row>
    <row r="72" spans="1:1" x14ac:dyDescent="0.25">
      <c r="A72" s="577" t="s">
        <v>519</v>
      </c>
    </row>
    <row r="74" spans="1:1" x14ac:dyDescent="0.25">
      <c r="A74" s="550" t="s">
        <v>520</v>
      </c>
    </row>
    <row r="75" spans="1:1" x14ac:dyDescent="0.25">
      <c r="A75" s="577" t="s">
        <v>521</v>
      </c>
    </row>
    <row r="76" spans="1:1" x14ac:dyDescent="0.25">
      <c r="A76" s="577" t="s">
        <v>522</v>
      </c>
    </row>
    <row r="77" spans="1:1" x14ac:dyDescent="0.25">
      <c r="A77" s="577" t="s">
        <v>523</v>
      </c>
    </row>
    <row r="78" spans="1:1" x14ac:dyDescent="0.25">
      <c r="A78" s="577" t="s">
        <v>524</v>
      </c>
    </row>
    <row r="79" spans="1:1" x14ac:dyDescent="0.25">
      <c r="A79" s="577" t="s">
        <v>525</v>
      </c>
    </row>
    <row r="80" spans="1:1" x14ac:dyDescent="0.25">
      <c r="A80" s="577" t="s">
        <v>526</v>
      </c>
    </row>
    <row r="82" spans="1:1" x14ac:dyDescent="0.2">
      <c r="A82" s="551" t="s">
        <v>527</v>
      </c>
    </row>
    <row r="83" spans="1:1" x14ac:dyDescent="0.2">
      <c r="A83" s="549" t="s">
        <v>528</v>
      </c>
    </row>
    <row r="84" spans="1:1" x14ac:dyDescent="0.2">
      <c r="A84" s="31" t="s">
        <v>529</v>
      </c>
    </row>
    <row r="86" spans="1:1" x14ac:dyDescent="0.2">
      <c r="A86" s="551" t="s">
        <v>530</v>
      </c>
    </row>
    <row r="87" spans="1:1" x14ac:dyDescent="0.2">
      <c r="A87" s="549" t="s">
        <v>531</v>
      </c>
    </row>
    <row r="89" spans="1:1" x14ac:dyDescent="0.2">
      <c r="A89" s="551" t="s">
        <v>532</v>
      </c>
    </row>
    <row r="90" spans="1:1" x14ac:dyDescent="0.2">
      <c r="A90" s="549" t="s">
        <v>533</v>
      </c>
    </row>
    <row r="92" spans="1:1" x14ac:dyDescent="0.2">
      <c r="A92" s="551" t="s">
        <v>534</v>
      </c>
    </row>
    <row r="93" spans="1:1" x14ac:dyDescent="0.2">
      <c r="A93" s="549" t="s">
        <v>535</v>
      </c>
    </row>
    <row r="95" spans="1:1" x14ac:dyDescent="0.2">
      <c r="A95" s="551" t="s">
        <v>536</v>
      </c>
    </row>
    <row r="96" spans="1:1" x14ac:dyDescent="0.2">
      <c r="A96" s="549" t="s">
        <v>537</v>
      </c>
    </row>
    <row r="98" spans="1:1" x14ac:dyDescent="0.2">
      <c r="A98" s="551" t="s">
        <v>538</v>
      </c>
    </row>
    <row r="99" spans="1:1" x14ac:dyDescent="0.2">
      <c r="A99" s="549" t="s">
        <v>539</v>
      </c>
    </row>
    <row r="101" spans="1:1" x14ac:dyDescent="0.2">
      <c r="A101" s="551" t="s">
        <v>540</v>
      </c>
    </row>
    <row r="102" spans="1:1" x14ac:dyDescent="0.2">
      <c r="A102" s="502" t="s">
        <v>541</v>
      </c>
    </row>
    <row r="104" spans="1:1" x14ac:dyDescent="0.2">
      <c r="A104" s="551" t="s">
        <v>542</v>
      </c>
    </row>
    <row r="105" spans="1:1" x14ac:dyDescent="0.2">
      <c r="A105" s="31" t="s">
        <v>543</v>
      </c>
    </row>
    <row r="107" spans="1:1" x14ac:dyDescent="0.2">
      <c r="A107" s="551" t="s">
        <v>544</v>
      </c>
    </row>
    <row r="108" spans="1:1" x14ac:dyDescent="0.2">
      <c r="A108" s="31" t="s">
        <v>545</v>
      </c>
    </row>
    <row r="110" spans="1:1" x14ac:dyDescent="0.2">
      <c r="A110" s="551" t="s">
        <v>546</v>
      </c>
    </row>
    <row r="111" spans="1:1" x14ac:dyDescent="0.2">
      <c r="A111" s="31" t="s">
        <v>547</v>
      </c>
    </row>
    <row r="113" spans="1:1" x14ac:dyDescent="0.2">
      <c r="A113" s="551" t="s">
        <v>548</v>
      </c>
    </row>
    <row r="114" spans="1:1" x14ac:dyDescent="0.2">
      <c r="A114" s="552" t="s">
        <v>549</v>
      </c>
    </row>
    <row r="116" spans="1:1" x14ac:dyDescent="0.2">
      <c r="A116" s="551" t="s">
        <v>550</v>
      </c>
    </row>
    <row r="117" spans="1:1" x14ac:dyDescent="0.2">
      <c r="A117" s="31" t="s">
        <v>551</v>
      </c>
    </row>
    <row r="119" spans="1:1" x14ac:dyDescent="0.2">
      <c r="A119" s="551" t="s">
        <v>552</v>
      </c>
    </row>
    <row r="120" spans="1:1" x14ac:dyDescent="0.2">
      <c r="A120" s="31" t="s">
        <v>553</v>
      </c>
    </row>
    <row r="121" spans="1:1" x14ac:dyDescent="0.2">
      <c r="A121" s="31" t="s">
        <v>554</v>
      </c>
    </row>
    <row r="123" spans="1:1" x14ac:dyDescent="0.2">
      <c r="A123" s="551" t="s">
        <v>555</v>
      </c>
    </row>
    <row r="124" spans="1:1" x14ac:dyDescent="0.2">
      <c r="A124" s="553" t="s">
        <v>556</v>
      </c>
    </row>
    <row r="126" spans="1:1" x14ac:dyDescent="0.2">
      <c r="A126" s="551" t="s">
        <v>557</v>
      </c>
    </row>
    <row r="127" spans="1:1" x14ac:dyDescent="0.2">
      <c r="A127" s="552" t="s">
        <v>558</v>
      </c>
    </row>
    <row r="128" spans="1:1" x14ac:dyDescent="0.2">
      <c r="A128" s="31" t="s">
        <v>559</v>
      </c>
    </row>
    <row r="129" spans="1:1" x14ac:dyDescent="0.2">
      <c r="A129" s="31" t="s">
        <v>560</v>
      </c>
    </row>
    <row r="130" spans="1:1" x14ac:dyDescent="0.2">
      <c r="A130" s="31" t="s">
        <v>561</v>
      </c>
    </row>
    <row r="131" spans="1:1" x14ac:dyDescent="0.2">
      <c r="A131" s="31" t="s">
        <v>562</v>
      </c>
    </row>
    <row r="132" spans="1:1" x14ac:dyDescent="0.2">
      <c r="A132" s="31" t="s">
        <v>563</v>
      </c>
    </row>
    <row r="133" spans="1:1" x14ac:dyDescent="0.2">
      <c r="A133" s="31" t="s">
        <v>564</v>
      </c>
    </row>
    <row r="134" spans="1:1" x14ac:dyDescent="0.2">
      <c r="A134" s="31" t="s">
        <v>565</v>
      </c>
    </row>
    <row r="135" spans="1:1" ht="31.5" x14ac:dyDescent="0.2">
      <c r="A135" s="31" t="s">
        <v>566</v>
      </c>
    </row>
    <row r="136" spans="1:1" ht="48.75" customHeight="1" x14ac:dyDescent="0.2">
      <c r="A136" s="31" t="s">
        <v>567</v>
      </c>
    </row>
    <row r="137" spans="1:1" x14ac:dyDescent="0.2">
      <c r="A137" s="31" t="s">
        <v>568</v>
      </c>
    </row>
    <row r="138" spans="1:1" ht="36" customHeight="1" x14ac:dyDescent="0.2">
      <c r="A138" s="31" t="s">
        <v>569</v>
      </c>
    </row>
    <row r="139" spans="1:1" x14ac:dyDescent="0.2">
      <c r="A139" s="31" t="s">
        <v>570</v>
      </c>
    </row>
    <row r="140" spans="1:1" x14ac:dyDescent="0.2">
      <c r="A140" s="31" t="s">
        <v>571</v>
      </c>
    </row>
    <row r="141" spans="1:1" x14ac:dyDescent="0.2">
      <c r="A141" s="31" t="s">
        <v>572</v>
      </c>
    </row>
    <row r="142" spans="1:1" x14ac:dyDescent="0.2">
      <c r="A142" s="31" t="s">
        <v>573</v>
      </c>
    </row>
    <row r="143" spans="1:1" ht="47.25" x14ac:dyDescent="0.2">
      <c r="A143" s="31" t="s">
        <v>574</v>
      </c>
    </row>
    <row r="144" spans="1:1" x14ac:dyDescent="0.2">
      <c r="A144" s="502" t="s">
        <v>575</v>
      </c>
    </row>
    <row r="145" spans="1:1" ht="31.5" x14ac:dyDescent="0.2">
      <c r="A145" s="31" t="s">
        <v>576</v>
      </c>
    </row>
    <row r="146" spans="1:1" x14ac:dyDescent="0.2">
      <c r="A146" s="31" t="s">
        <v>577</v>
      </c>
    </row>
    <row r="147" spans="1:1" x14ac:dyDescent="0.2">
      <c r="A147" s="31" t="s">
        <v>578</v>
      </c>
    </row>
    <row r="148" spans="1:1" x14ac:dyDescent="0.2">
      <c r="A148" s="31" t="s">
        <v>579</v>
      </c>
    </row>
    <row r="149" spans="1:1" x14ac:dyDescent="0.2">
      <c r="A149" s="31" t="s">
        <v>580</v>
      </c>
    </row>
    <row r="150" spans="1:1" x14ac:dyDescent="0.2">
      <c r="A150" s="31" t="s">
        <v>581</v>
      </c>
    </row>
    <row r="151" spans="1:1" x14ac:dyDescent="0.2">
      <c r="A151" s="31" t="s">
        <v>582</v>
      </c>
    </row>
    <row r="152" spans="1:1" ht="15.75" customHeight="1" x14ac:dyDescent="0.2">
      <c r="A152" s="31" t="s">
        <v>583</v>
      </c>
    </row>
    <row r="153" spans="1:1" ht="31.5" x14ac:dyDescent="0.2">
      <c r="A153" s="31" t="s">
        <v>584</v>
      </c>
    </row>
    <row r="154" spans="1:1" x14ac:dyDescent="0.2">
      <c r="A154" s="31" t="s">
        <v>585</v>
      </c>
    </row>
    <row r="155" spans="1:1" x14ac:dyDescent="0.2">
      <c r="A155" s="31" t="s">
        <v>586</v>
      </c>
    </row>
    <row r="156" spans="1:1" x14ac:dyDescent="0.2">
      <c r="A156" s="31" t="s">
        <v>587</v>
      </c>
    </row>
    <row r="157" spans="1:1" x14ac:dyDescent="0.2">
      <c r="A157" s="31" t="s">
        <v>588</v>
      </c>
    </row>
    <row r="158" spans="1:1" x14ac:dyDescent="0.2">
      <c r="A158" s="31" t="s">
        <v>589</v>
      </c>
    </row>
    <row r="159" spans="1:1" ht="15.75" customHeight="1" x14ac:dyDescent="0.2">
      <c r="A159" s="31" t="s">
        <v>590</v>
      </c>
    </row>
    <row r="160" spans="1:1" x14ac:dyDescent="0.2">
      <c r="A160" s="31" t="s">
        <v>591</v>
      </c>
    </row>
    <row r="161" spans="1:1" x14ac:dyDescent="0.2">
      <c r="A161" s="31" t="s">
        <v>592</v>
      </c>
    </row>
    <row r="163" spans="1:1" x14ac:dyDescent="0.2">
      <c r="A163" s="551" t="s">
        <v>593</v>
      </c>
    </row>
    <row r="164" spans="1:1" ht="31.5" x14ac:dyDescent="0.2">
      <c r="A164" s="31" t="s">
        <v>594</v>
      </c>
    </row>
    <row r="166" spans="1:1" x14ac:dyDescent="0.2">
      <c r="A166" s="551" t="s">
        <v>595</v>
      </c>
    </row>
    <row r="167" spans="1:1" x14ac:dyDescent="0.2">
      <c r="A167" s="31" t="s">
        <v>596</v>
      </c>
    </row>
    <row r="168" spans="1:1" x14ac:dyDescent="0.2">
      <c r="A168" s="31" t="s">
        <v>597</v>
      </c>
    </row>
    <row r="169" spans="1:1" ht="15.75" customHeight="1" x14ac:dyDescent="0.2"/>
    <row r="170" spans="1:1" x14ac:dyDescent="0.2">
      <c r="A170" s="551" t="s">
        <v>598</v>
      </c>
    </row>
    <row r="171" spans="1:1" x14ac:dyDescent="0.2">
      <c r="A171" s="31" t="s">
        <v>599</v>
      </c>
    </row>
    <row r="173" spans="1:1" x14ac:dyDescent="0.2">
      <c r="A173" s="551" t="s">
        <v>600</v>
      </c>
    </row>
    <row r="174" spans="1:1" ht="19.5" customHeight="1" x14ac:dyDescent="0.2">
      <c r="A174" s="31" t="s">
        <v>601</v>
      </c>
    </row>
    <row r="176" spans="1:1" x14ac:dyDescent="0.2">
      <c r="A176" s="551" t="s">
        <v>602</v>
      </c>
    </row>
    <row r="177" spans="1:1" x14ac:dyDescent="0.2">
      <c r="A177" s="314" t="s">
        <v>603</v>
      </c>
    </row>
    <row r="178" spans="1:1" x14ac:dyDescent="0.2">
      <c r="A178" s="314" t="s">
        <v>604</v>
      </c>
    </row>
    <row r="180" spans="1:1" x14ac:dyDescent="0.2">
      <c r="A180" s="551" t="s">
        <v>605</v>
      </c>
    </row>
    <row r="181" spans="1:1" x14ac:dyDescent="0.2">
      <c r="A181" s="31" t="s">
        <v>606</v>
      </c>
    </row>
    <row r="182" spans="1:1" x14ac:dyDescent="0.2">
      <c r="A182" s="31" t="s">
        <v>607</v>
      </c>
    </row>
    <row r="183" spans="1:1" x14ac:dyDescent="0.2">
      <c r="A183" s="31" t="s">
        <v>608</v>
      </c>
    </row>
    <row r="185" spans="1:1" x14ac:dyDescent="0.2">
      <c r="A185" s="551" t="s">
        <v>609</v>
      </c>
    </row>
    <row r="186" spans="1:1" x14ac:dyDescent="0.2">
      <c r="A186" s="314" t="s">
        <v>610</v>
      </c>
    </row>
    <row r="187" spans="1:1" x14ac:dyDescent="0.2">
      <c r="A187" s="314" t="s">
        <v>611</v>
      </c>
    </row>
    <row r="188" spans="1:1" ht="31.5" x14ac:dyDescent="0.2">
      <c r="A188" s="314" t="s">
        <v>612</v>
      </c>
    </row>
    <row r="189" spans="1:1" x14ac:dyDescent="0.2">
      <c r="A189" s="314" t="s">
        <v>613</v>
      </c>
    </row>
    <row r="190" spans="1:1" x14ac:dyDescent="0.2">
      <c r="A190" s="314" t="s">
        <v>614</v>
      </c>
    </row>
    <row r="191" spans="1:1" x14ac:dyDescent="0.2">
      <c r="A191" s="314" t="s">
        <v>615</v>
      </c>
    </row>
    <row r="192" spans="1:1" x14ac:dyDescent="0.2">
      <c r="A192" s="314" t="s">
        <v>616</v>
      </c>
    </row>
    <row r="193" spans="1:1" x14ac:dyDescent="0.2">
      <c r="A193" s="314" t="s">
        <v>617</v>
      </c>
    </row>
    <row r="194" spans="1:1" x14ac:dyDescent="0.2">
      <c r="A194" s="314" t="s">
        <v>618</v>
      </c>
    </row>
    <row r="195" spans="1:1" x14ac:dyDescent="0.2">
      <c r="A195" s="314" t="s">
        <v>619</v>
      </c>
    </row>
    <row r="196" spans="1:1" x14ac:dyDescent="0.2">
      <c r="A196" s="314" t="s">
        <v>620</v>
      </c>
    </row>
    <row r="197" spans="1:1" x14ac:dyDescent="0.2">
      <c r="A197" s="314" t="s">
        <v>621</v>
      </c>
    </row>
    <row r="198" spans="1:1" x14ac:dyDescent="0.2">
      <c r="A198" s="314" t="s">
        <v>622</v>
      </c>
    </row>
    <row r="199" spans="1:1" x14ac:dyDescent="0.2">
      <c r="A199" s="314" t="s">
        <v>623</v>
      </c>
    </row>
    <row r="200" spans="1:1" x14ac:dyDescent="0.2">
      <c r="A200" s="314" t="s">
        <v>624</v>
      </c>
    </row>
    <row r="201" spans="1:1" x14ac:dyDescent="0.2">
      <c r="A201" s="314" t="s">
        <v>625</v>
      </c>
    </row>
    <row r="202" spans="1:1" x14ac:dyDescent="0.2">
      <c r="A202" s="314" t="s">
        <v>626</v>
      </c>
    </row>
    <row r="203" spans="1:1" x14ac:dyDescent="0.2">
      <c r="A203" s="314" t="s">
        <v>627</v>
      </c>
    </row>
    <row r="204" spans="1:1" ht="18" customHeight="1" x14ac:dyDescent="0.2">
      <c r="A204" s="314" t="s">
        <v>628</v>
      </c>
    </row>
    <row r="205" spans="1:1" x14ac:dyDescent="0.2">
      <c r="A205" s="314" t="s">
        <v>629</v>
      </c>
    </row>
    <row r="206" spans="1:1" x14ac:dyDescent="0.2">
      <c r="A206" s="314" t="s">
        <v>630</v>
      </c>
    </row>
    <row r="207" spans="1:1" x14ac:dyDescent="0.2">
      <c r="A207" s="314" t="s">
        <v>631</v>
      </c>
    </row>
    <row r="208" spans="1:1" x14ac:dyDescent="0.2">
      <c r="A208" s="314" t="s">
        <v>632</v>
      </c>
    </row>
    <row r="209" spans="1:1" ht="16.5" customHeight="1" x14ac:dyDescent="0.2">
      <c r="A209" s="314" t="s">
        <v>633</v>
      </c>
    </row>
    <row r="210" spans="1:1" x14ac:dyDescent="0.2">
      <c r="A210" s="314" t="s">
        <v>634</v>
      </c>
    </row>
    <row r="211" spans="1:1" x14ac:dyDescent="0.2">
      <c r="A211" s="314" t="s">
        <v>635</v>
      </c>
    </row>
    <row r="212" spans="1:1" x14ac:dyDescent="0.2">
      <c r="A212" s="314" t="s">
        <v>636</v>
      </c>
    </row>
    <row r="213" spans="1:1" x14ac:dyDescent="0.2">
      <c r="A213" s="314" t="s">
        <v>637</v>
      </c>
    </row>
    <row r="215" spans="1:1" x14ac:dyDescent="0.2">
      <c r="A215" s="551" t="s">
        <v>638</v>
      </c>
    </row>
    <row r="216" spans="1:1" x14ac:dyDescent="0.2">
      <c r="A216" s="31" t="s">
        <v>639</v>
      </c>
    </row>
    <row r="217" spans="1:1" x14ac:dyDescent="0.2">
      <c r="A217" s="31" t="s">
        <v>640</v>
      </c>
    </row>
    <row r="218" spans="1:1" x14ac:dyDescent="0.2">
      <c r="A218" s="31" t="s">
        <v>641</v>
      </c>
    </row>
    <row r="219" spans="1:1" ht="17.25" customHeight="1" x14ac:dyDescent="0.2"/>
    <row r="220" spans="1:1" x14ac:dyDescent="0.2">
      <c r="A220" s="551" t="s">
        <v>642</v>
      </c>
    </row>
    <row r="221" spans="1:1" x14ac:dyDescent="0.2">
      <c r="A221" s="31" t="s">
        <v>643</v>
      </c>
    </row>
    <row r="222" spans="1:1" x14ac:dyDescent="0.2">
      <c r="A222" s="31" t="s">
        <v>644</v>
      </c>
    </row>
    <row r="224" spans="1:1" x14ac:dyDescent="0.2">
      <c r="A224" s="551" t="s">
        <v>645</v>
      </c>
    </row>
    <row r="225" spans="1:1" ht="21.75" customHeight="1" x14ac:dyDescent="0.2">
      <c r="A225" s="554" t="s">
        <v>646</v>
      </c>
    </row>
    <row r="226" spans="1:1" x14ac:dyDescent="0.2">
      <c r="A226" s="554" t="s">
        <v>647</v>
      </c>
    </row>
    <row r="227" spans="1:1" ht="16.5" customHeight="1" x14ac:dyDescent="0.2">
      <c r="A227" s="554" t="s">
        <v>648</v>
      </c>
    </row>
    <row r="228" spans="1:1" x14ac:dyDescent="0.2">
      <c r="A228" s="31" t="s">
        <v>649</v>
      </c>
    </row>
    <row r="230" spans="1:1" x14ac:dyDescent="0.2">
      <c r="A230" s="530" t="s">
        <v>650</v>
      </c>
    </row>
    <row r="231" spans="1:1" x14ac:dyDescent="0.2">
      <c r="A231" s="555" t="s">
        <v>651</v>
      </c>
    </row>
    <row r="232" spans="1:1" x14ac:dyDescent="0.2">
      <c r="A232" s="31" t="s">
        <v>652</v>
      </c>
    </row>
    <row r="233" spans="1:1" x14ac:dyDescent="0.2">
      <c r="A233" s="31" t="s">
        <v>653</v>
      </c>
    </row>
    <row r="234" spans="1:1" ht="31.5" x14ac:dyDescent="0.2">
      <c r="A234" s="431" t="s">
        <v>654</v>
      </c>
    </row>
    <row r="235" spans="1:1" x14ac:dyDescent="0.2">
      <c r="A235" s="31" t="s">
        <v>655</v>
      </c>
    </row>
    <row r="236" spans="1:1" ht="16.5" customHeight="1" x14ac:dyDescent="0.2">
      <c r="A236" s="31" t="s">
        <v>656</v>
      </c>
    </row>
    <row r="237" spans="1:1" x14ac:dyDescent="0.2">
      <c r="A237" s="31" t="s">
        <v>657</v>
      </c>
    </row>
    <row r="238" spans="1:1" x14ac:dyDescent="0.2">
      <c r="A238" s="31" t="s">
        <v>658</v>
      </c>
    </row>
    <row r="239" spans="1:1" x14ac:dyDescent="0.2">
      <c r="A239" s="31" t="s">
        <v>659</v>
      </c>
    </row>
    <row r="241" spans="1:1" x14ac:dyDescent="0.2">
      <c r="A241" s="530" t="s">
        <v>660</v>
      </c>
    </row>
    <row r="242" spans="1:1" x14ac:dyDescent="0.2">
      <c r="A242" s="31" t="s">
        <v>661</v>
      </c>
    </row>
    <row r="243" spans="1:1" x14ac:dyDescent="0.2">
      <c r="A243" s="31" t="s">
        <v>662</v>
      </c>
    </row>
    <row r="244" spans="1:1" x14ac:dyDescent="0.2">
      <c r="A244" s="31" t="s">
        <v>663</v>
      </c>
    </row>
    <row r="245" spans="1:1" x14ac:dyDescent="0.2">
      <c r="A245" s="31" t="s">
        <v>664</v>
      </c>
    </row>
    <row r="247" spans="1:1" x14ac:dyDescent="0.2">
      <c r="A247" s="530" t="s">
        <v>665</v>
      </c>
    </row>
    <row r="248" spans="1:1" x14ac:dyDescent="0.2">
      <c r="A248" s="31" t="s">
        <v>666</v>
      </c>
    </row>
    <row r="250" spans="1:1" x14ac:dyDescent="0.2">
      <c r="A250" s="530" t="s">
        <v>667</v>
      </c>
    </row>
    <row r="251" spans="1:1" x14ac:dyDescent="0.2">
      <c r="A251" s="31" t="s">
        <v>668</v>
      </c>
    </row>
    <row r="253" spans="1:1" ht="32.25" customHeight="1" x14ac:dyDescent="0.2">
      <c r="A253" s="530" t="s">
        <v>669</v>
      </c>
    </row>
    <row r="254" spans="1:1" ht="36" customHeight="1" x14ac:dyDescent="0.2">
      <c r="A254" s="31" t="s">
        <v>670</v>
      </c>
    </row>
    <row r="255" spans="1:1" ht="35.25" customHeight="1" x14ac:dyDescent="0.2">
      <c r="A255" s="31" t="s">
        <v>671</v>
      </c>
    </row>
    <row r="256" spans="1:1" ht="18" customHeight="1" x14ac:dyDescent="0.2">
      <c r="A256" s="31" t="s">
        <v>672</v>
      </c>
    </row>
    <row r="257" spans="1:1" ht="36" customHeight="1" x14ac:dyDescent="0.2"/>
    <row r="258" spans="1:1" x14ac:dyDescent="0.2">
      <c r="A258" s="530" t="s">
        <v>673</v>
      </c>
    </row>
    <row r="259" spans="1:1" ht="33.75" customHeight="1" x14ac:dyDescent="0.2">
      <c r="A259" s="31" t="s">
        <v>674</v>
      </c>
    </row>
    <row r="260" spans="1:1" ht="18.75" customHeight="1" x14ac:dyDescent="0.2">
      <c r="A260" s="31" t="s">
        <v>675</v>
      </c>
    </row>
    <row r="261" spans="1:1" ht="17.25" customHeight="1" x14ac:dyDescent="0.2">
      <c r="A261" s="31" t="s">
        <v>676</v>
      </c>
    </row>
    <row r="262" spans="1:1" ht="17.25" customHeight="1" x14ac:dyDescent="0.2">
      <c r="A262" s="31" t="s">
        <v>677</v>
      </c>
    </row>
    <row r="263" spans="1:1" x14ac:dyDescent="0.2">
      <c r="A263" s="31" t="s">
        <v>678</v>
      </c>
    </row>
    <row r="264" spans="1:1" x14ac:dyDescent="0.2">
      <c r="A264" s="31" t="s">
        <v>679</v>
      </c>
    </row>
    <row r="265" spans="1:1" ht="31.5" x14ac:dyDescent="0.2">
      <c r="A265" s="31" t="s">
        <v>680</v>
      </c>
    </row>
    <row r="266" spans="1:1" ht="31.5" x14ac:dyDescent="0.2">
      <c r="A266" s="31" t="s">
        <v>681</v>
      </c>
    </row>
    <row r="267" spans="1:1" ht="31.5" x14ac:dyDescent="0.2">
      <c r="A267" s="31" t="s">
        <v>682</v>
      </c>
    </row>
    <row r="268" spans="1:1" ht="14.25" customHeight="1" x14ac:dyDescent="0.2">
      <c r="A268" s="31" t="s">
        <v>683</v>
      </c>
    </row>
    <row r="269" spans="1:1" ht="31.5" x14ac:dyDescent="0.2">
      <c r="A269" s="31" t="s">
        <v>684</v>
      </c>
    </row>
    <row r="270" spans="1:1" x14ac:dyDescent="0.2">
      <c r="A270" s="31" t="s">
        <v>685</v>
      </c>
    </row>
    <row r="271" spans="1:1" ht="31.5" x14ac:dyDescent="0.2">
      <c r="A271" s="31" t="s">
        <v>686</v>
      </c>
    </row>
    <row r="272" spans="1:1" x14ac:dyDescent="0.2">
      <c r="A272" s="31" t="s">
        <v>687</v>
      </c>
    </row>
    <row r="273" spans="1:1" x14ac:dyDescent="0.2">
      <c r="A273" s="31" t="s">
        <v>688</v>
      </c>
    </row>
    <row r="274" spans="1:1" x14ac:dyDescent="0.2">
      <c r="A274" s="31" t="s">
        <v>689</v>
      </c>
    </row>
    <row r="275" spans="1:1" x14ac:dyDescent="0.2">
      <c r="A275" s="31" t="s">
        <v>690</v>
      </c>
    </row>
    <row r="276" spans="1:1" ht="31.5" x14ac:dyDescent="0.2">
      <c r="A276" s="31" t="s">
        <v>691</v>
      </c>
    </row>
    <row r="277" spans="1:1" ht="18" customHeight="1" x14ac:dyDescent="0.2">
      <c r="A277" s="31" t="s">
        <v>692</v>
      </c>
    </row>
    <row r="278" spans="1:1" ht="51" customHeight="1" x14ac:dyDescent="0.2"/>
    <row r="279" spans="1:1" x14ac:dyDescent="0.2">
      <c r="A279" s="530" t="s">
        <v>693</v>
      </c>
    </row>
    <row r="280" spans="1:1" x14ac:dyDescent="0.2">
      <c r="A280" s="31" t="s">
        <v>694</v>
      </c>
    </row>
    <row r="281" spans="1:1" x14ac:dyDescent="0.2">
      <c r="A281" s="31" t="s">
        <v>695</v>
      </c>
    </row>
    <row r="282" spans="1:1" x14ac:dyDescent="0.2">
      <c r="A282" s="31" t="s">
        <v>696</v>
      </c>
    </row>
    <row r="283" spans="1:1" x14ac:dyDescent="0.2">
      <c r="A283" s="31" t="s">
        <v>697</v>
      </c>
    </row>
    <row r="284" spans="1:1" x14ac:dyDescent="0.2">
      <c r="A284" s="530" t="s">
        <v>698</v>
      </c>
    </row>
    <row r="285" spans="1:1" ht="31.5" x14ac:dyDescent="0.2">
      <c r="A285" s="31" t="s">
        <v>699</v>
      </c>
    </row>
    <row r="286" spans="1:1" x14ac:dyDescent="0.2">
      <c r="A286" s="31" t="s">
        <v>700</v>
      </c>
    </row>
    <row r="289" spans="1:1" x14ac:dyDescent="0.2">
      <c r="A289" s="530" t="s">
        <v>701</v>
      </c>
    </row>
    <row r="290" spans="1:1" ht="47.25" x14ac:dyDescent="0.2">
      <c r="A290" s="31" t="s">
        <v>702</v>
      </c>
    </row>
    <row r="291" spans="1:1" x14ac:dyDescent="0.2">
      <c r="A291" s="31" t="s">
        <v>703</v>
      </c>
    </row>
    <row r="292" spans="1:1" x14ac:dyDescent="0.2">
      <c r="A292" s="31" t="s">
        <v>704</v>
      </c>
    </row>
    <row r="293" spans="1:1" x14ac:dyDescent="0.2">
      <c r="A293" s="31" t="s">
        <v>705</v>
      </c>
    </row>
    <row r="294" spans="1:1" x14ac:dyDescent="0.2">
      <c r="A294" s="31" t="s">
        <v>706</v>
      </c>
    </row>
    <row r="295" spans="1:1" x14ac:dyDescent="0.2">
      <c r="A295" s="31" t="s">
        <v>707</v>
      </c>
    </row>
    <row r="296" spans="1:1" x14ac:dyDescent="0.2">
      <c r="A296" s="31" t="s">
        <v>708</v>
      </c>
    </row>
    <row r="297" spans="1:1" x14ac:dyDescent="0.2">
      <c r="A297" s="31" t="s">
        <v>709</v>
      </c>
    </row>
    <row r="298" spans="1:1" x14ac:dyDescent="0.2">
      <c r="A298" s="31" t="s">
        <v>710</v>
      </c>
    </row>
    <row r="299" spans="1:1" ht="31.5" x14ac:dyDescent="0.2">
      <c r="A299" s="31" t="s">
        <v>711</v>
      </c>
    </row>
    <row r="300" spans="1:1" ht="31.5" x14ac:dyDescent="0.2">
      <c r="A300" s="31" t="s">
        <v>712</v>
      </c>
    </row>
    <row r="301" spans="1:1" x14ac:dyDescent="0.2">
      <c r="A301" s="31" t="s">
        <v>713</v>
      </c>
    </row>
    <row r="302" spans="1:1" x14ac:dyDescent="0.2">
      <c r="A302" s="31" t="s">
        <v>714</v>
      </c>
    </row>
    <row r="303" spans="1:1" x14ac:dyDescent="0.2">
      <c r="A303" s="31" t="s">
        <v>715</v>
      </c>
    </row>
    <row r="304" spans="1:1" x14ac:dyDescent="0.2">
      <c r="A304" s="31" t="s">
        <v>716</v>
      </c>
    </row>
    <row r="305" spans="1:1" x14ac:dyDescent="0.2">
      <c r="A305" s="31" t="s">
        <v>717</v>
      </c>
    </row>
    <row r="306" spans="1:1" ht="31.5" x14ac:dyDescent="0.2">
      <c r="A306" s="31" t="s">
        <v>718</v>
      </c>
    </row>
    <row r="307" spans="1:1" x14ac:dyDescent="0.2">
      <c r="A307" s="31" t="s">
        <v>719</v>
      </c>
    </row>
    <row r="308" spans="1:1" x14ac:dyDescent="0.2">
      <c r="A308" s="31" t="s">
        <v>720</v>
      </c>
    </row>
    <row r="309" spans="1:1" ht="31.5" x14ac:dyDescent="0.2">
      <c r="A309" s="31" t="s">
        <v>721</v>
      </c>
    </row>
    <row r="310" spans="1:1" x14ac:dyDescent="0.2">
      <c r="A310" s="31" t="s">
        <v>722</v>
      </c>
    </row>
    <row r="311" spans="1:1" x14ac:dyDescent="0.2">
      <c r="A311" s="31" t="s">
        <v>723</v>
      </c>
    </row>
    <row r="312" spans="1:1" x14ac:dyDescent="0.2">
      <c r="A312" s="31" t="s">
        <v>724</v>
      </c>
    </row>
    <row r="313" spans="1:1" x14ac:dyDescent="0.2">
      <c r="A313" s="31" t="s">
        <v>725</v>
      </c>
    </row>
    <row r="314" spans="1:1" ht="19.5" customHeight="1" x14ac:dyDescent="0.2">
      <c r="A314" s="31" t="s">
        <v>726</v>
      </c>
    </row>
    <row r="315" spans="1:1" ht="18" customHeight="1" x14ac:dyDescent="0.2">
      <c r="A315" s="31" t="s">
        <v>727</v>
      </c>
    </row>
    <row r="316" spans="1:1" x14ac:dyDescent="0.2">
      <c r="A316" s="31" t="s">
        <v>728</v>
      </c>
    </row>
    <row r="317" spans="1:1" x14ac:dyDescent="0.2">
      <c r="A317" s="31" t="s">
        <v>729</v>
      </c>
    </row>
    <row r="318" spans="1:1" x14ac:dyDescent="0.2">
      <c r="A318" s="31" t="s">
        <v>730</v>
      </c>
    </row>
    <row r="319" spans="1:1" ht="31.5" x14ac:dyDescent="0.2">
      <c r="A319" s="31" t="s">
        <v>731</v>
      </c>
    </row>
    <row r="320" spans="1:1" x14ac:dyDescent="0.2">
      <c r="A320" s="31" t="s">
        <v>732</v>
      </c>
    </row>
    <row r="322" spans="1:1" x14ac:dyDescent="0.2">
      <c r="A322" s="31" t="s">
        <v>733</v>
      </c>
    </row>
    <row r="323" spans="1:1" x14ac:dyDescent="0.2">
      <c r="A323" s="31" t="s">
        <v>734</v>
      </c>
    </row>
  </sheetData>
  <sheetProtection sheet="1" objects="1" scenarios="1"/>
  <pageMargins left="0.32" right="0.31"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49"/>
  <sheetViews>
    <sheetView zoomScale="80" zoomScaleNormal="80" workbookViewId="0">
      <selection activeCell="B38" sqref="B38:E38"/>
    </sheetView>
  </sheetViews>
  <sheetFormatPr defaultColWidth="8.88671875" defaultRowHeight="15.75" x14ac:dyDescent="0.25"/>
  <cols>
    <col min="1" max="1" width="17.21875" style="250" customWidth="1"/>
    <col min="2" max="2" width="16.109375" style="250" customWidth="1"/>
    <col min="3" max="7" width="8.88671875" style="250"/>
    <col min="8" max="8" width="12.6640625" style="513" customWidth="1"/>
    <col min="9" max="9" width="12.44140625" style="513" customWidth="1"/>
    <col min="10" max="11" width="8.88671875" style="513"/>
    <col min="12" max="16384" width="8.88671875" style="250"/>
  </cols>
  <sheetData>
    <row r="1" spans="1:11" x14ac:dyDescent="0.25">
      <c r="A1" s="626" t="s">
        <v>139</v>
      </c>
      <c r="B1" s="626"/>
      <c r="C1" s="626"/>
      <c r="D1" s="626"/>
      <c r="E1" s="626"/>
      <c r="F1" s="626"/>
      <c r="H1" s="618" t="s">
        <v>140</v>
      </c>
      <c r="I1" s="618"/>
      <c r="J1" s="618"/>
      <c r="K1" s="618"/>
    </row>
    <row r="2" spans="1:11" x14ac:dyDescent="0.25">
      <c r="A2" s="626"/>
      <c r="B2" s="626"/>
      <c r="C2" s="626"/>
      <c r="D2" s="626"/>
      <c r="E2" s="626"/>
      <c r="F2" s="626"/>
      <c r="H2" s="618"/>
      <c r="I2" s="618"/>
      <c r="J2" s="618"/>
      <c r="K2" s="618"/>
    </row>
    <row r="3" spans="1:11" ht="18" customHeight="1" x14ac:dyDescent="0.25">
      <c r="A3" s="627" t="s">
        <v>141</v>
      </c>
      <c r="B3" s="627"/>
      <c r="C3" s="627"/>
      <c r="D3" s="627"/>
      <c r="E3" s="627"/>
      <c r="F3" s="627"/>
      <c r="H3" s="251" t="s">
        <v>142</v>
      </c>
      <c r="I3" s="619" t="s">
        <v>143</v>
      </c>
      <c r="J3" s="620"/>
      <c r="K3" s="621"/>
    </row>
    <row r="4" spans="1:11" ht="18" customHeight="1" x14ac:dyDescent="0.25">
      <c r="A4" s="627"/>
      <c r="B4" s="627"/>
      <c r="C4" s="627"/>
      <c r="D4" s="627"/>
      <c r="E4" s="627"/>
      <c r="F4" s="627"/>
      <c r="H4" s="251"/>
      <c r="I4" s="251"/>
    </row>
    <row r="5" spans="1:11" ht="18" customHeight="1" x14ac:dyDescent="0.25">
      <c r="A5" s="627"/>
      <c r="B5" s="627"/>
      <c r="C5" s="627"/>
      <c r="D5" s="627"/>
      <c r="E5" s="627"/>
      <c r="F5" s="627"/>
      <c r="H5" s="251" t="s">
        <v>144</v>
      </c>
      <c r="I5" s="619" t="s">
        <v>145</v>
      </c>
      <c r="J5" s="620"/>
      <c r="K5" s="621"/>
    </row>
    <row r="6" spans="1:11" ht="18" customHeight="1" x14ac:dyDescent="0.25">
      <c r="A6" s="627"/>
      <c r="B6" s="627"/>
      <c r="C6" s="627"/>
      <c r="D6" s="627"/>
      <c r="E6" s="627"/>
      <c r="F6" s="627"/>
      <c r="H6" s="251"/>
      <c r="I6" s="251"/>
    </row>
    <row r="7" spans="1:11" ht="18" customHeight="1" x14ac:dyDescent="0.25">
      <c r="A7" s="627"/>
      <c r="B7" s="627"/>
      <c r="C7" s="627"/>
      <c r="D7" s="627"/>
      <c r="E7" s="627"/>
      <c r="F7" s="627"/>
      <c r="H7" s="251" t="s">
        <v>146</v>
      </c>
      <c r="I7" s="619" t="s">
        <v>147</v>
      </c>
      <c r="J7" s="620"/>
      <c r="K7" s="621"/>
    </row>
    <row r="8" spans="1:11" ht="18" customHeight="1" x14ac:dyDescent="0.25">
      <c r="A8" s="627"/>
      <c r="B8" s="627"/>
      <c r="C8" s="627"/>
      <c r="D8" s="627"/>
      <c r="E8" s="627"/>
      <c r="F8" s="627"/>
      <c r="H8" s="251"/>
      <c r="I8" s="251"/>
    </row>
    <row r="9" spans="1:11" ht="18" customHeight="1" x14ac:dyDescent="0.25">
      <c r="A9" s="627"/>
      <c r="B9" s="627"/>
      <c r="C9" s="627"/>
      <c r="D9" s="627"/>
      <c r="E9" s="627"/>
      <c r="F9" s="627"/>
      <c r="H9" s="251" t="s">
        <v>148</v>
      </c>
      <c r="I9" s="619" t="s">
        <v>149</v>
      </c>
      <c r="J9" s="620"/>
      <c r="K9" s="621"/>
    </row>
    <row r="10" spans="1:11" ht="18" customHeight="1" x14ac:dyDescent="0.25">
      <c r="A10" s="627"/>
      <c r="B10" s="627"/>
      <c r="C10" s="627"/>
      <c r="D10" s="627"/>
      <c r="E10" s="627"/>
      <c r="F10" s="627"/>
      <c r="H10" s="251"/>
      <c r="I10" s="251"/>
    </row>
    <row r="11" spans="1:11" ht="18" customHeight="1" x14ac:dyDescent="0.25">
      <c r="A11" s="627"/>
      <c r="B11" s="627"/>
      <c r="C11" s="627"/>
      <c r="D11" s="627"/>
      <c r="E11" s="627"/>
      <c r="F11" s="627"/>
      <c r="H11" s="251" t="s">
        <v>150</v>
      </c>
      <c r="I11" s="619" t="s">
        <v>149</v>
      </c>
      <c r="J11" s="620"/>
      <c r="K11" s="621"/>
    </row>
    <row r="12" spans="1:11" ht="18" customHeight="1" x14ac:dyDescent="0.25">
      <c r="A12" s="627"/>
      <c r="B12" s="627"/>
      <c r="C12" s="627"/>
      <c r="D12" s="627"/>
      <c r="E12" s="627"/>
      <c r="F12" s="627"/>
    </row>
    <row r="13" spans="1:11" ht="20.25" x14ac:dyDescent="0.25">
      <c r="A13" s="618" t="s">
        <v>151</v>
      </c>
      <c r="B13" s="618"/>
      <c r="C13" s="618"/>
      <c r="D13" s="618"/>
      <c r="E13" s="618"/>
      <c r="F13" s="618"/>
      <c r="G13" s="618"/>
      <c r="H13" s="618"/>
      <c r="I13" s="618"/>
      <c r="J13" s="618"/>
      <c r="K13" s="618"/>
    </row>
    <row r="14" spans="1:11" x14ac:dyDescent="0.25">
      <c r="A14" s="514" t="s">
        <v>152</v>
      </c>
      <c r="B14" s="619"/>
      <c r="C14" s="620"/>
      <c r="D14" s="620"/>
      <c r="E14" s="621"/>
      <c r="H14" s="622" t="s">
        <v>153</v>
      </c>
      <c r="I14" s="622"/>
      <c r="J14" s="622"/>
      <c r="K14" s="622"/>
    </row>
    <row r="15" spans="1:11" x14ac:dyDescent="0.25">
      <c r="A15" s="514"/>
      <c r="B15" s="515"/>
      <c r="C15" s="516"/>
      <c r="D15" s="516"/>
      <c r="E15" s="516"/>
      <c r="H15" s="622"/>
      <c r="I15" s="622"/>
      <c r="J15" s="622"/>
      <c r="K15" s="622"/>
    </row>
    <row r="16" spans="1:11" x14ac:dyDescent="0.25">
      <c r="A16" s="514" t="s">
        <v>142</v>
      </c>
      <c r="B16" s="619" t="s">
        <v>773</v>
      </c>
      <c r="C16" s="620"/>
      <c r="D16" s="620"/>
      <c r="E16" s="621"/>
      <c r="H16" s="622"/>
      <c r="I16" s="622"/>
      <c r="J16" s="622"/>
      <c r="K16" s="622"/>
    </row>
    <row r="17" spans="1:11" x14ac:dyDescent="0.25">
      <c r="A17" s="517"/>
      <c r="B17" s="516"/>
      <c r="C17" s="516"/>
      <c r="D17" s="516"/>
      <c r="E17" s="516"/>
      <c r="H17" s="622"/>
      <c r="I17" s="622"/>
      <c r="J17" s="622"/>
      <c r="K17" s="622"/>
    </row>
    <row r="18" spans="1:11" x14ac:dyDescent="0.25">
      <c r="A18" s="518" t="s">
        <v>144</v>
      </c>
      <c r="B18" s="619" t="s">
        <v>774</v>
      </c>
      <c r="C18" s="620"/>
      <c r="D18" s="620"/>
      <c r="E18" s="621"/>
      <c r="H18" s="622"/>
      <c r="I18" s="622"/>
      <c r="J18" s="622"/>
      <c r="K18" s="622"/>
    </row>
    <row r="19" spans="1:11" x14ac:dyDescent="0.25">
      <c r="A19" s="519" t="s">
        <v>154</v>
      </c>
      <c r="B19" s="516"/>
      <c r="C19" s="516"/>
      <c r="D19" s="251"/>
      <c r="E19" s="516"/>
      <c r="H19" s="622"/>
      <c r="I19" s="622"/>
      <c r="J19" s="622"/>
      <c r="K19" s="622"/>
    </row>
    <row r="20" spans="1:11" x14ac:dyDescent="0.25">
      <c r="A20" s="518" t="s">
        <v>146</v>
      </c>
      <c r="B20" s="619" t="s">
        <v>775</v>
      </c>
      <c r="C20" s="620"/>
      <c r="D20" s="620"/>
      <c r="E20" s="621"/>
      <c r="H20" s="622"/>
      <c r="I20" s="622"/>
      <c r="J20" s="622"/>
      <c r="K20" s="622"/>
    </row>
    <row r="21" spans="1:11" x14ac:dyDescent="0.25">
      <c r="A21" s="518"/>
      <c r="B21" s="251"/>
      <c r="C21" s="251"/>
      <c r="D21" s="251"/>
      <c r="E21" s="516"/>
      <c r="H21" s="622"/>
      <c r="I21" s="622"/>
      <c r="J21" s="622"/>
      <c r="K21" s="622"/>
    </row>
    <row r="22" spans="1:11" x14ac:dyDescent="0.25">
      <c r="A22" s="518" t="s">
        <v>148</v>
      </c>
      <c r="B22" s="623" t="s">
        <v>776</v>
      </c>
      <c r="C22" s="624"/>
      <c r="D22" s="624"/>
      <c r="E22" s="625"/>
      <c r="H22" s="622"/>
      <c r="I22" s="622"/>
      <c r="J22" s="622"/>
      <c r="K22" s="622"/>
    </row>
    <row r="23" spans="1:11" x14ac:dyDescent="0.25">
      <c r="A23" s="518"/>
      <c r="B23" s="251"/>
      <c r="C23" s="251"/>
      <c r="D23" s="251"/>
      <c r="E23" s="516"/>
      <c r="H23" s="622"/>
      <c r="I23" s="622"/>
      <c r="J23" s="622"/>
      <c r="K23" s="622"/>
    </row>
    <row r="24" spans="1:11" x14ac:dyDescent="0.25">
      <c r="A24" s="518" t="s">
        <v>155</v>
      </c>
      <c r="B24" s="623" t="s">
        <v>777</v>
      </c>
      <c r="C24" s="624"/>
      <c r="D24" s="624"/>
      <c r="E24" s="625"/>
      <c r="H24" s="622"/>
      <c r="I24" s="622"/>
      <c r="J24" s="622"/>
      <c r="K24" s="622"/>
    </row>
    <row r="27" spans="1:11" ht="20.25" x14ac:dyDescent="0.25">
      <c r="A27" s="618" t="s">
        <v>156</v>
      </c>
      <c r="B27" s="618"/>
      <c r="C27" s="618"/>
      <c r="D27" s="618"/>
      <c r="E27" s="618"/>
      <c r="F27" s="618"/>
      <c r="G27" s="618"/>
      <c r="H27" s="618"/>
      <c r="I27" s="618"/>
      <c r="J27" s="618"/>
      <c r="K27" s="618"/>
    </row>
    <row r="28" spans="1:11" x14ac:dyDescent="0.25">
      <c r="A28" s="514" t="s">
        <v>152</v>
      </c>
      <c r="B28" s="619"/>
      <c r="C28" s="620"/>
      <c r="D28" s="620"/>
      <c r="E28" s="621"/>
      <c r="H28" s="622" t="s">
        <v>157</v>
      </c>
      <c r="I28" s="622"/>
      <c r="J28" s="622"/>
      <c r="K28" s="622"/>
    </row>
    <row r="29" spans="1:11" x14ac:dyDescent="0.25">
      <c r="A29" s="514"/>
      <c r="B29" s="515"/>
      <c r="H29" s="622"/>
      <c r="I29" s="622"/>
      <c r="J29" s="622"/>
      <c r="K29" s="622"/>
    </row>
    <row r="30" spans="1:11" x14ac:dyDescent="0.25">
      <c r="A30" s="514" t="s">
        <v>142</v>
      </c>
      <c r="B30" s="619" t="s">
        <v>773</v>
      </c>
      <c r="C30" s="620"/>
      <c r="D30" s="620"/>
      <c r="E30" s="621"/>
      <c r="H30" s="622"/>
      <c r="I30" s="622"/>
      <c r="J30" s="622"/>
      <c r="K30" s="622"/>
    </row>
    <row r="31" spans="1:11" x14ac:dyDescent="0.25">
      <c r="A31" s="517"/>
      <c r="H31" s="622"/>
      <c r="I31" s="622"/>
      <c r="J31" s="622"/>
      <c r="K31" s="622"/>
    </row>
    <row r="32" spans="1:11" x14ac:dyDescent="0.25">
      <c r="A32" s="518" t="s">
        <v>144</v>
      </c>
      <c r="B32" s="619" t="s">
        <v>778</v>
      </c>
      <c r="C32" s="620"/>
      <c r="D32" s="620"/>
      <c r="E32" s="621"/>
      <c r="H32" s="622"/>
      <c r="I32" s="622"/>
      <c r="J32" s="622"/>
      <c r="K32" s="622"/>
    </row>
    <row r="33" spans="1:11" x14ac:dyDescent="0.25">
      <c r="A33" s="519" t="s">
        <v>154</v>
      </c>
      <c r="D33" s="251"/>
      <c r="H33" s="622"/>
      <c r="I33" s="622"/>
      <c r="J33" s="622"/>
      <c r="K33" s="622"/>
    </row>
    <row r="34" spans="1:11" x14ac:dyDescent="0.25">
      <c r="A34" s="518" t="s">
        <v>146</v>
      </c>
      <c r="B34" s="619" t="s">
        <v>775</v>
      </c>
      <c r="C34" s="620"/>
      <c r="D34" s="620"/>
      <c r="E34" s="621"/>
      <c r="H34" s="622"/>
      <c r="I34" s="622"/>
      <c r="J34" s="622"/>
      <c r="K34" s="622"/>
    </row>
    <row r="35" spans="1:11" x14ac:dyDescent="0.25">
      <c r="A35" s="518"/>
      <c r="B35" s="251"/>
      <c r="C35" s="251"/>
      <c r="D35" s="251"/>
      <c r="H35" s="622"/>
      <c r="I35" s="622"/>
      <c r="J35" s="622"/>
      <c r="K35" s="622"/>
    </row>
    <row r="36" spans="1:11" x14ac:dyDescent="0.25">
      <c r="A36" s="518" t="s">
        <v>148</v>
      </c>
      <c r="B36" s="623" t="s">
        <v>776</v>
      </c>
      <c r="C36" s="624"/>
      <c r="D36" s="624"/>
      <c r="E36" s="625"/>
      <c r="H36" s="622"/>
      <c r="I36" s="622"/>
      <c r="J36" s="622"/>
      <c r="K36" s="622"/>
    </row>
    <row r="37" spans="1:11" x14ac:dyDescent="0.25">
      <c r="A37" s="518"/>
      <c r="B37" s="251"/>
      <c r="C37" s="251"/>
      <c r="D37" s="251"/>
      <c r="H37" s="622"/>
      <c r="I37" s="622"/>
      <c r="J37" s="622"/>
      <c r="K37" s="622"/>
    </row>
    <row r="38" spans="1:11" x14ac:dyDescent="0.25">
      <c r="A38" s="518" t="s">
        <v>155</v>
      </c>
      <c r="B38" s="623" t="s">
        <v>777</v>
      </c>
      <c r="C38" s="624"/>
      <c r="D38" s="624"/>
      <c r="E38" s="625"/>
      <c r="H38" s="622"/>
      <c r="I38" s="622"/>
      <c r="J38" s="622"/>
      <c r="K38" s="622"/>
    </row>
    <row r="39" spans="1:11" x14ac:dyDescent="0.25">
      <c r="H39" s="622"/>
      <c r="I39" s="622"/>
      <c r="J39" s="622"/>
      <c r="K39" s="622"/>
    </row>
    <row r="41" spans="1:11" ht="20.25" x14ac:dyDescent="0.25">
      <c r="A41" s="618" t="s">
        <v>158</v>
      </c>
      <c r="B41" s="618"/>
      <c r="C41" s="618"/>
      <c r="D41" s="618"/>
      <c r="E41" s="618"/>
      <c r="F41" s="618"/>
      <c r="G41" s="618"/>
      <c r="H41" s="618"/>
      <c r="I41" s="618"/>
      <c r="J41" s="618"/>
      <c r="K41" s="618"/>
    </row>
    <row r="42" spans="1:11" x14ac:dyDescent="0.25">
      <c r="A42" s="518" t="s">
        <v>144</v>
      </c>
      <c r="B42" s="619"/>
      <c r="C42" s="620"/>
      <c r="D42" s="620"/>
      <c r="E42" s="621"/>
      <c r="H42" s="622" t="s">
        <v>159</v>
      </c>
      <c r="I42" s="622"/>
      <c r="J42" s="622"/>
      <c r="K42" s="622"/>
    </row>
    <row r="43" spans="1:11" x14ac:dyDescent="0.25">
      <c r="A43" s="519" t="s">
        <v>154</v>
      </c>
      <c r="B43" s="516"/>
      <c r="C43" s="516"/>
      <c r="D43" s="251"/>
      <c r="E43" s="516"/>
      <c r="H43" s="622"/>
      <c r="I43" s="622"/>
      <c r="J43" s="622"/>
      <c r="K43" s="622"/>
    </row>
    <row r="44" spans="1:11" x14ac:dyDescent="0.25">
      <c r="A44" s="518" t="s">
        <v>146</v>
      </c>
      <c r="B44" s="619"/>
      <c r="C44" s="620"/>
      <c r="D44" s="620"/>
      <c r="E44" s="621"/>
      <c r="H44" s="622"/>
      <c r="I44" s="622"/>
      <c r="J44" s="622"/>
      <c r="K44" s="622"/>
    </row>
    <row r="45" spans="1:11" x14ac:dyDescent="0.25">
      <c r="A45" s="518"/>
      <c r="B45" s="251"/>
      <c r="C45" s="251"/>
      <c r="D45" s="251"/>
      <c r="E45" s="516"/>
      <c r="H45" s="622"/>
      <c r="I45" s="622"/>
      <c r="J45" s="622"/>
      <c r="K45" s="622"/>
    </row>
    <row r="46" spans="1:11" x14ac:dyDescent="0.25">
      <c r="A46" s="518" t="s">
        <v>148</v>
      </c>
      <c r="B46" s="623"/>
      <c r="C46" s="624"/>
      <c r="D46" s="624"/>
      <c r="E46" s="625"/>
      <c r="H46" s="622"/>
      <c r="I46" s="622"/>
      <c r="J46" s="622"/>
      <c r="K46" s="622"/>
    </row>
    <row r="47" spans="1:11" x14ac:dyDescent="0.25">
      <c r="H47" s="622"/>
      <c r="I47" s="622"/>
      <c r="J47" s="622"/>
      <c r="K47" s="622"/>
    </row>
    <row r="48" spans="1:11" x14ac:dyDescent="0.25">
      <c r="H48" s="622"/>
      <c r="I48" s="622"/>
      <c r="J48" s="622"/>
      <c r="K48" s="622"/>
    </row>
    <row r="49" spans="8:11" x14ac:dyDescent="0.25">
      <c r="H49" s="622"/>
      <c r="I49" s="622"/>
      <c r="J49" s="622"/>
      <c r="K49" s="622"/>
    </row>
  </sheetData>
  <mergeCells count="29">
    <mergeCell ref="A1:F2"/>
    <mergeCell ref="H1:K2"/>
    <mergeCell ref="A3:F12"/>
    <mergeCell ref="I3:K3"/>
    <mergeCell ref="I5:K5"/>
    <mergeCell ref="I7:K7"/>
    <mergeCell ref="I9:K9"/>
    <mergeCell ref="I11:K11"/>
    <mergeCell ref="A13:K13"/>
    <mergeCell ref="B14:E14"/>
    <mergeCell ref="H14:K24"/>
    <mergeCell ref="B16:E16"/>
    <mergeCell ref="B18:E18"/>
    <mergeCell ref="B20:E20"/>
    <mergeCell ref="B22:E22"/>
    <mergeCell ref="B24:E24"/>
    <mergeCell ref="A27:K27"/>
    <mergeCell ref="B28:E28"/>
    <mergeCell ref="H28:K39"/>
    <mergeCell ref="B30:E30"/>
    <mergeCell ref="B32:E32"/>
    <mergeCell ref="B34:E34"/>
    <mergeCell ref="B36:E36"/>
    <mergeCell ref="B38:E38"/>
    <mergeCell ref="A41:K41"/>
    <mergeCell ref="B42:E42"/>
    <mergeCell ref="H42:K49"/>
    <mergeCell ref="B44:E44"/>
    <mergeCell ref="B46:E46"/>
  </mergeCells>
  <pageMargins left="0.7" right="0.7" top="0.75" bottom="0.75" header="0.3" footer="0.3"/>
  <pageSetup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A40"/>
  <sheetViews>
    <sheetView workbookViewId="0">
      <selection activeCell="C31" sqref="C30:E31"/>
    </sheetView>
  </sheetViews>
  <sheetFormatPr defaultRowHeight="15" x14ac:dyDescent="0.2"/>
  <cols>
    <col min="1" max="1" width="82.33203125" customWidth="1"/>
  </cols>
  <sheetData>
    <row r="1" spans="1:1" x14ac:dyDescent="0.2">
      <c r="A1" s="628" t="s">
        <v>160</v>
      </c>
    </row>
    <row r="2" spans="1:1" x14ac:dyDescent="0.2">
      <c r="A2" s="628"/>
    </row>
    <row r="3" spans="1:1" x14ac:dyDescent="0.2">
      <c r="A3" s="628"/>
    </row>
    <row r="4" spans="1:1" x14ac:dyDescent="0.2">
      <c r="A4" s="628"/>
    </row>
    <row r="5" spans="1:1" x14ac:dyDescent="0.2">
      <c r="A5" s="628"/>
    </row>
    <row r="6" spans="1:1" x14ac:dyDescent="0.2">
      <c r="A6" s="628"/>
    </row>
    <row r="7" spans="1:1" x14ac:dyDescent="0.2">
      <c r="A7" s="628"/>
    </row>
    <row r="8" spans="1:1" x14ac:dyDescent="0.2">
      <c r="A8" s="628"/>
    </row>
    <row r="9" spans="1:1" x14ac:dyDescent="0.2">
      <c r="A9" s="628"/>
    </row>
    <row r="10" spans="1:1" x14ac:dyDescent="0.2">
      <c r="A10" s="628"/>
    </row>
    <row r="11" spans="1:1" x14ac:dyDescent="0.2">
      <c r="A11" s="628"/>
    </row>
    <row r="12" spans="1:1" x14ac:dyDescent="0.2">
      <c r="A12" s="628"/>
    </row>
    <row r="13" spans="1:1" x14ac:dyDescent="0.2">
      <c r="A13" s="628"/>
    </row>
    <row r="14" spans="1:1" x14ac:dyDescent="0.2">
      <c r="A14" s="628"/>
    </row>
    <row r="15" spans="1:1" x14ac:dyDescent="0.2">
      <c r="A15" s="628"/>
    </row>
    <row r="16" spans="1:1" x14ac:dyDescent="0.2">
      <c r="A16" s="628"/>
    </row>
    <row r="17" spans="1:1" x14ac:dyDescent="0.2">
      <c r="A17" s="628"/>
    </row>
    <row r="18" spans="1:1" x14ac:dyDescent="0.2">
      <c r="A18" s="628"/>
    </row>
    <row r="19" spans="1:1" x14ac:dyDescent="0.2">
      <c r="A19" s="628"/>
    </row>
    <row r="20" spans="1:1" x14ac:dyDescent="0.2">
      <c r="A20" s="628"/>
    </row>
    <row r="21" spans="1:1" x14ac:dyDescent="0.2">
      <c r="A21" s="628"/>
    </row>
    <row r="22" spans="1:1" x14ac:dyDescent="0.2">
      <c r="A22" s="628"/>
    </row>
    <row r="23" spans="1:1" x14ac:dyDescent="0.2">
      <c r="A23" s="628"/>
    </row>
    <row r="24" spans="1:1" x14ac:dyDescent="0.2">
      <c r="A24" s="628"/>
    </row>
    <row r="25" spans="1:1" x14ac:dyDescent="0.2">
      <c r="A25" s="628"/>
    </row>
    <row r="26" spans="1:1" x14ac:dyDescent="0.2">
      <c r="A26" s="628"/>
    </row>
    <row r="27" spans="1:1" x14ac:dyDescent="0.2">
      <c r="A27" s="628"/>
    </row>
    <row r="28" spans="1:1" x14ac:dyDescent="0.2">
      <c r="A28" s="628"/>
    </row>
    <row r="29" spans="1:1" x14ac:dyDescent="0.2">
      <c r="A29" s="628"/>
    </row>
    <row r="30" spans="1:1" x14ac:dyDescent="0.2">
      <c r="A30" s="628"/>
    </row>
    <row r="31" spans="1:1" x14ac:dyDescent="0.2">
      <c r="A31" s="628"/>
    </row>
    <row r="32" spans="1:1" x14ac:dyDescent="0.2">
      <c r="A32" s="628"/>
    </row>
    <row r="33" spans="1:1" x14ac:dyDescent="0.2">
      <c r="A33" s="628"/>
    </row>
    <row r="34" spans="1:1" x14ac:dyDescent="0.2">
      <c r="A34" s="628"/>
    </row>
    <row r="35" spans="1:1" x14ac:dyDescent="0.2">
      <c r="A35" s="628"/>
    </row>
    <row r="36" spans="1:1" x14ac:dyDescent="0.2">
      <c r="A36" s="628"/>
    </row>
    <row r="37" spans="1:1" x14ac:dyDescent="0.2">
      <c r="A37" s="628"/>
    </row>
    <row r="38" spans="1:1" x14ac:dyDescent="0.2">
      <c r="A38" s="628"/>
    </row>
    <row r="39" spans="1:1" x14ac:dyDescent="0.2">
      <c r="A39" s="628"/>
    </row>
    <row r="40" spans="1:1" x14ac:dyDescent="0.2">
      <c r="A40" s="628"/>
    </row>
  </sheetData>
  <sheetProtection sheet="1"/>
  <mergeCells count="1">
    <mergeCell ref="A1:A40"/>
  </mergeCells>
  <pageMargins left="0.7" right="0.7" top="0.75" bottom="0.75" header="0.3" footer="0.3"/>
  <pageSetup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I93"/>
  <sheetViews>
    <sheetView topLeftCell="A25" workbookViewId="0">
      <selection activeCell="H51" sqref="H51"/>
    </sheetView>
  </sheetViews>
  <sheetFormatPr defaultColWidth="8.88671875" defaultRowHeight="15.75" x14ac:dyDescent="0.2"/>
  <cols>
    <col min="1" max="1" width="24.33203125" style="64" customWidth="1"/>
    <col min="2" max="2" width="10.77734375" style="64" customWidth="1"/>
    <col min="3" max="3" width="5.77734375" style="64" customWidth="1"/>
    <col min="4" max="4" width="14" style="64" customWidth="1"/>
    <col min="5" max="5" width="13.33203125" style="64" customWidth="1"/>
    <col min="6" max="6" width="13.6640625" style="64" customWidth="1"/>
    <col min="7" max="7" width="15.109375" style="29" bestFit="1" customWidth="1"/>
    <col min="8" max="8" width="12" style="29" bestFit="1" customWidth="1"/>
    <col min="9" max="9" width="15.109375" style="29" bestFit="1" customWidth="1"/>
    <col min="10" max="16384" width="8.88671875" style="29"/>
  </cols>
  <sheetData>
    <row r="1" spans="1:7" x14ac:dyDescent="0.2">
      <c r="A1" s="33"/>
      <c r="B1" s="33"/>
      <c r="C1" s="65" t="s">
        <v>161</v>
      </c>
      <c r="D1" s="33"/>
      <c r="E1" s="33"/>
      <c r="F1" s="564"/>
      <c r="G1" s="30">
        <f>inputPrYr!C6</f>
        <v>2026</v>
      </c>
    </row>
    <row r="2" spans="1:7" x14ac:dyDescent="0.2">
      <c r="A2" s="633" t="str">
        <f>CONCATENATE("To the Clerk of ",(inputPrYr!D4),", State of Kansas")</f>
        <v>To the Clerk of Cloud County, State of Kansas</v>
      </c>
      <c r="B2" s="596"/>
      <c r="C2" s="596"/>
      <c r="D2" s="596"/>
      <c r="E2" s="596"/>
      <c r="F2" s="596"/>
    </row>
    <row r="3" spans="1:7" x14ac:dyDescent="0.2">
      <c r="A3" s="36" t="s">
        <v>162</v>
      </c>
      <c r="B3" s="35"/>
      <c r="C3" s="35"/>
      <c r="D3" s="35"/>
      <c r="E3" s="35"/>
      <c r="F3" s="35"/>
    </row>
    <row r="4" spans="1:7" x14ac:dyDescent="0.2">
      <c r="A4" s="595" t="str">
        <f>(inputPrYr!D3)</f>
        <v>City of Concordia</v>
      </c>
      <c r="B4" s="632"/>
      <c r="C4" s="632"/>
      <c r="D4" s="632"/>
      <c r="E4" s="632"/>
      <c r="F4" s="632"/>
    </row>
    <row r="5" spans="1:7" x14ac:dyDescent="0.2">
      <c r="A5" s="36" t="s">
        <v>163</v>
      </c>
      <c r="B5" s="35"/>
      <c r="C5" s="35"/>
      <c r="D5" s="35"/>
      <c r="E5" s="35"/>
      <c r="F5" s="35"/>
    </row>
    <row r="6" spans="1:7" x14ac:dyDescent="0.2">
      <c r="A6" s="36" t="s">
        <v>164</v>
      </c>
      <c r="B6" s="35"/>
      <c r="C6" s="35"/>
      <c r="D6" s="35"/>
      <c r="E6" s="35"/>
      <c r="F6" s="35"/>
    </row>
    <row r="7" spans="1:7" x14ac:dyDescent="0.2">
      <c r="A7" s="36" t="str">
        <f>CONCATENATE("maximum expenditures for the various funds for the year ",G1,"; and")</f>
        <v>maximum expenditures for the various funds for the year 2026; and</v>
      </c>
      <c r="B7" s="35"/>
      <c r="C7" s="35"/>
      <c r="D7" s="35"/>
      <c r="E7" s="35"/>
      <c r="F7" s="35"/>
    </row>
    <row r="8" spans="1:7" x14ac:dyDescent="0.2">
      <c r="A8" s="36" t="str">
        <f>CONCATENATE("(3) the Amounts(s) of ",G1-1," Ad Valorem Tax are within statutory limitations.")</f>
        <v>(3) the Amounts(s) of 2025 Ad Valorem Tax are within statutory limitations.</v>
      </c>
      <c r="B8" s="35"/>
      <c r="C8" s="35"/>
      <c r="D8" s="35"/>
      <c r="E8" s="35"/>
      <c r="F8" s="35"/>
    </row>
    <row r="9" spans="1:7" x14ac:dyDescent="0.2">
      <c r="A9" s="33"/>
      <c r="B9" s="33"/>
      <c r="C9" s="33"/>
      <c r="D9" s="40" t="str">
        <f>CONCATENATE("",G1," Adopted Budget")</f>
        <v>2026 Adopted Budget</v>
      </c>
      <c r="E9" s="41"/>
      <c r="F9" s="39"/>
    </row>
    <row r="10" spans="1:7" ht="21" customHeight="1" x14ac:dyDescent="0.2">
      <c r="A10" s="33"/>
      <c r="B10" s="33"/>
      <c r="C10" s="60"/>
      <c r="D10" s="107" t="s">
        <v>165</v>
      </c>
      <c r="E10" s="43" t="str">
        <f>CONCATENATE("Amount of ",G1-1,"")</f>
        <v>Amount of 2025</v>
      </c>
      <c r="F10" s="629" t="s">
        <v>166</v>
      </c>
    </row>
    <row r="11" spans="1:7" x14ac:dyDescent="0.2">
      <c r="A11" s="557"/>
      <c r="B11" s="33"/>
      <c r="C11" s="43" t="s">
        <v>167</v>
      </c>
      <c r="D11" s="312" t="s">
        <v>136</v>
      </c>
      <c r="E11" s="109" t="s">
        <v>168</v>
      </c>
      <c r="F11" s="630"/>
    </row>
    <row r="12" spans="1:7" x14ac:dyDescent="0.2">
      <c r="A12" s="110" t="s">
        <v>169</v>
      </c>
      <c r="B12" s="61"/>
      <c r="C12" s="45" t="s">
        <v>170</v>
      </c>
      <c r="D12" s="313" t="s">
        <v>171</v>
      </c>
      <c r="E12" s="46" t="s">
        <v>172</v>
      </c>
      <c r="F12" s="631"/>
    </row>
    <row r="13" spans="1:7" x14ac:dyDescent="0.2">
      <c r="A13" s="560" t="s">
        <v>173</v>
      </c>
      <c r="B13" s="61"/>
      <c r="C13" s="45">
        <v>2</v>
      </c>
      <c r="D13" s="108"/>
      <c r="E13" s="108"/>
      <c r="F13" s="108"/>
    </row>
    <row r="14" spans="1:7" x14ac:dyDescent="0.2">
      <c r="A14" s="560" t="s">
        <v>174</v>
      </c>
      <c r="B14" s="61"/>
      <c r="C14" s="45">
        <v>3</v>
      </c>
      <c r="D14" s="108"/>
      <c r="E14" s="108"/>
      <c r="F14" s="108"/>
    </row>
    <row r="15" spans="1:7" x14ac:dyDescent="0.2">
      <c r="A15" s="560" t="s">
        <v>175</v>
      </c>
      <c r="B15" s="85"/>
      <c r="C15" s="111">
        <v>4</v>
      </c>
      <c r="D15" s="112"/>
      <c r="E15" s="112"/>
      <c r="F15" s="112"/>
    </row>
    <row r="16" spans="1:7" x14ac:dyDescent="0.2">
      <c r="A16" s="560" t="s">
        <v>176</v>
      </c>
      <c r="B16" s="85"/>
      <c r="C16" s="111">
        <v>5</v>
      </c>
      <c r="D16" s="112"/>
      <c r="E16" s="112"/>
      <c r="F16" s="112"/>
    </row>
    <row r="17" spans="1:6" x14ac:dyDescent="0.2">
      <c r="A17" s="155" t="str">
        <f>IF(inputPrYr!D19="","","Computation to Determine State Library Grant")</f>
        <v>Computation to Determine State Library Grant</v>
      </c>
      <c r="B17" s="85"/>
      <c r="C17" s="118">
        <f>IF(inputPrYr!D19="","",'Library Grant'!F38)</f>
        <v>6</v>
      </c>
      <c r="D17" s="112"/>
      <c r="E17" s="112"/>
      <c r="F17" s="112"/>
    </row>
    <row r="18" spans="1:6" x14ac:dyDescent="0.2">
      <c r="A18" s="113" t="s">
        <v>122</v>
      </c>
      <c r="B18" s="114" t="s">
        <v>177</v>
      </c>
      <c r="C18" s="568"/>
      <c r="D18" s="115"/>
      <c r="E18" s="115"/>
      <c r="F18" s="115"/>
    </row>
    <row r="19" spans="1:6" x14ac:dyDescent="0.2">
      <c r="A19" s="44" t="s">
        <v>93</v>
      </c>
      <c r="B19" s="116" t="str">
        <f>IF(inputPrYr!C17&gt;0,(inputPrYr!C17),"  ")</f>
        <v>12-101a</v>
      </c>
      <c r="C19" s="111">
        <f>General!C53</f>
        <v>7</v>
      </c>
      <c r="D19" s="47">
        <f>IF(General!$E$102&lt;&gt;0,General!$E$102,"  ")</f>
        <v>6762116</v>
      </c>
      <c r="E19" s="47">
        <f>IF(General!E109&lt;&gt;0,General!E109,"")</f>
        <v>1369200</v>
      </c>
      <c r="F19" s="477" t="str">
        <f>IF(AND(General!E109=0,F46&gt;=0)," ",IF(AND(E19&gt;0,F46=0), " ", IF(AND(E19&gt;0,F46&gt;0),ROUND(E19/F46*1000,3))))</f>
        <v xml:space="preserve"> </v>
      </c>
    </row>
    <row r="20" spans="1:6" x14ac:dyDescent="0.2">
      <c r="A20" s="44" t="s">
        <v>95</v>
      </c>
      <c r="B20" s="116" t="str">
        <f>IF(inputPrYr!C18&gt;0,(inputPrYr!C18),"  ")</f>
        <v>10-113</v>
      </c>
      <c r="C20" s="111">
        <f>IF('DebtSvs-Library'!C86&gt;0,'DebtSvs-Library'!C86,"  ")</f>
        <v>8</v>
      </c>
      <c r="D20" s="47">
        <f>IF('DebtSvs-Library'!E41&lt;&gt;0,'DebtSvs-Library'!E41,"  ")</f>
        <v>874763</v>
      </c>
      <c r="E20" s="47">
        <f>IF('DebtSvs-Library'!E48&lt;&gt;0,'DebtSvs-Library'!E48,"")</f>
        <v>170371</v>
      </c>
      <c r="F20" s="477" t="str">
        <f>IF(AND('DebtSvs-Library'!E48=0,F46&gt;=0)," ",IF(AND(E20&gt;0,F46=0), " ", IF(AND(E20&gt;0,F46&gt;0),ROUND(E20/F46*1000,3))))</f>
        <v xml:space="preserve"> </v>
      </c>
    </row>
    <row r="21" spans="1:6" x14ac:dyDescent="0.2">
      <c r="A21" s="47" t="str">
        <f>IF(inputPrYr!$B19&gt;"  ",(inputPrYr!$B19),"  ")</f>
        <v>Library</v>
      </c>
      <c r="B21" s="116" t="str">
        <f>IF(inputPrYr!C19&gt;0,(inputPrYr!C19),"  ")</f>
        <v>12-1220</v>
      </c>
      <c r="C21" s="111">
        <f>IF('DebtSvs-Library'!C86&gt;0,'DebtSvs-Library'!C86,"  ")</f>
        <v>8</v>
      </c>
      <c r="D21" s="47">
        <f>IF('DebtSvs-Library'!E76&lt;&gt;0,'DebtSvs-Library'!E76,"  ")</f>
        <v>203476</v>
      </c>
      <c r="E21" s="47">
        <f>IF('DebtSvs-Library'!E83&lt;&gt;0,'DebtSvs-Library'!E83,"")</f>
        <v>183497</v>
      </c>
      <c r="F21" s="477" t="str">
        <f>IF(AND('DebtSvs-Library'!E83=0,F46&gt;=0)," ",IF(AND(E21&gt;0,F46=0), " ", IF(AND(E21&gt;0,F46&gt;0),ROUND(E21/F46*1000,3))))</f>
        <v xml:space="preserve"> </v>
      </c>
    </row>
    <row r="22" spans="1:6" x14ac:dyDescent="0.2">
      <c r="A22" s="47" t="str">
        <f>IF(inputPrYr!$B21&gt;"  ",(inputPrYr!$B21),"  ")</f>
        <v>Library Employee Benefit</v>
      </c>
      <c r="B22" s="116" t="str">
        <f>IF(inputPrYr!C21&gt;0,(inputPrYr!C21),"  ")</f>
        <v>12-16, 102</v>
      </c>
      <c r="C22" s="111">
        <f>IF('Lib Ben-Ec Dev'!C77&gt;0,'Lib Ben-Ec Dev'!C77,"  ")</f>
        <v>9</v>
      </c>
      <c r="D22" s="47">
        <f>IF('Lib Ben-Ec Dev'!$E$30&gt;0,'Lib Ben-Ec Dev'!$E$30,"  ")</f>
        <v>68206</v>
      </c>
      <c r="E22" s="47">
        <f>IF('Lib Ben-Ec Dev'!$E$37&lt;&gt;0,'Lib Ben-Ec Dev'!$E$37,"")</f>
        <v>61055</v>
      </c>
      <c r="F22" s="477" t="str">
        <f>IF(AND('Lib Ben-Ec Dev'!E37=0,F46&gt;=0)," ",IF(AND(E22&gt;0,F46=0), " ", IF(AND(E22&gt;0,F46&gt;0),ROUND(E22/F46*1000,3))))</f>
        <v xml:space="preserve"> </v>
      </c>
    </row>
    <row r="23" spans="1:6" x14ac:dyDescent="0.2">
      <c r="A23" s="47" t="str">
        <f>IF(inputPrYr!$B22&gt;"  ",(inputPrYr!$B22),"  ")</f>
        <v>Economic Development</v>
      </c>
      <c r="B23" s="116" t="str">
        <f>IF(inputPrYr!C22&gt;0,(inputPrYr!C22),"  ")</f>
        <v>12-1617H</v>
      </c>
      <c r="C23" s="111">
        <f>IF('Lib Ben-Ec Dev'!C77&gt;0,'Lib Ben-Ec Dev'!C77,"  ")</f>
        <v>9</v>
      </c>
      <c r="D23" s="47">
        <f>IF('Lib Ben-Ec Dev'!$E$68&gt;0,'Lib Ben-Ec Dev'!$E$68,"  ")</f>
        <v>75000</v>
      </c>
      <c r="E23" s="47">
        <f>IF('Lib Ben-Ec Dev'!$E$75&lt;&gt;0,'Lib Ben-Ec Dev'!$E$75,"")</f>
        <v>59685</v>
      </c>
      <c r="F23" s="477" t="str">
        <f>IF(AND('Lib Ben-Ec Dev'!E75=0,F46&gt;=0)," ",IF(AND(E23&gt;0,F46=0), " ", IF(AND(E23&gt;0,F46&gt;0),ROUND(E23/F46*1000,3))))</f>
        <v xml:space="preserve"> </v>
      </c>
    </row>
    <row r="24" spans="1:6" x14ac:dyDescent="0.2">
      <c r="A24" s="47" t="str">
        <f>IF(inputPrYr!$B23&gt;"  ",(inputPrYr!$B23),"  ")</f>
        <v xml:space="preserve">  </v>
      </c>
      <c r="B24" s="116" t="str">
        <f>IF(inputPrYr!C23&gt;0,(inputPrYr!C23),"  ")</f>
        <v xml:space="preserve">  </v>
      </c>
      <c r="C24" s="111"/>
      <c r="D24" s="47"/>
      <c r="E24" s="47"/>
      <c r="F24" s="477"/>
    </row>
    <row r="25" spans="1:6" x14ac:dyDescent="0.2">
      <c r="A25" s="47" t="str">
        <f>IF(inputPrYr!$B24&gt;"  ",(inputPrYr!$B24),"  ")</f>
        <v xml:space="preserve">  </v>
      </c>
      <c r="B25" s="116" t="str">
        <f>IF(inputPrYr!C24&gt;0,(inputPrYr!C24),"  ")</f>
        <v xml:space="preserve">  </v>
      </c>
      <c r="C25" s="111"/>
      <c r="D25" s="47"/>
      <c r="E25" s="47"/>
      <c r="F25" s="477"/>
    </row>
    <row r="26" spans="1:6" x14ac:dyDescent="0.2">
      <c r="A26" s="47" t="str">
        <f>IF(inputPrYr!$B29&gt;"  ",(inputPrYr!$B29),"  ")</f>
        <v xml:space="preserve">  </v>
      </c>
      <c r="B26" s="116" t="str">
        <f>IF(inputPrYr!C29&gt;0,(inputPrYr!C29),"  ")</f>
        <v xml:space="preserve">  </v>
      </c>
      <c r="C26" s="111"/>
      <c r="D26" s="47"/>
      <c r="E26" s="47"/>
      <c r="F26" s="477"/>
    </row>
    <row r="27" spans="1:6" x14ac:dyDescent="0.2">
      <c r="A27" s="47" t="str">
        <f>IF(inputPrYr!$B30&gt;"  ",(inputPrYr!$B30),"  ")</f>
        <v xml:space="preserve">  </v>
      </c>
      <c r="B27" s="116" t="str">
        <f>IF(inputPrYr!C30&gt;0,(inputPrYr!C30),"  ")</f>
        <v xml:space="preserve">  </v>
      </c>
      <c r="C27" s="111"/>
      <c r="D27" s="47"/>
      <c r="E27" s="47"/>
      <c r="F27" s="477"/>
    </row>
    <row r="28" spans="1:6" x14ac:dyDescent="0.2">
      <c r="A28" s="117" t="str">
        <f>IF(inputPrYr!$B34&gt;"  ",(inputPrYr!$B34),"  ")</f>
        <v>Special Highway</v>
      </c>
      <c r="B28" s="566"/>
      <c r="C28" s="118">
        <f>IF('Spec Hwy-RHID'!C60&gt;0,'Spec Hwy-RHID'!C60,"  ")</f>
        <v>10</v>
      </c>
      <c r="D28" s="47">
        <f>IF('Spec Hwy-RHID'!$E$25&gt;0,'Spec Hwy-RHID'!$E$25,"  ")</f>
        <v>396430</v>
      </c>
      <c r="E28" s="49"/>
      <c r="F28" s="49"/>
    </row>
    <row r="29" spans="1:6" x14ac:dyDescent="0.2">
      <c r="A29" s="117" t="str">
        <f>IF(inputPrYr!$B35&gt;"  ",(inputPrYr!$B35),"  ")</f>
        <v>RHID</v>
      </c>
      <c r="B29" s="566"/>
      <c r="C29" s="118">
        <f>IF('Spec Hwy-RHID'!C60&gt;0,'Spec Hwy-RHID'!C60,"  ")</f>
        <v>10</v>
      </c>
      <c r="D29" s="47">
        <f>IF('Spec Hwy-RHID'!$E$52&gt;0,'Spec Hwy-RHID'!$E$52,"  ")</f>
        <v>3418</v>
      </c>
      <c r="E29" s="49"/>
      <c r="F29" s="49"/>
    </row>
    <row r="30" spans="1:6" x14ac:dyDescent="0.2">
      <c r="A30" s="117" t="str">
        <f>IF(inputPrYr!$B36&gt;"  ",(inputPrYr!$B36),"  ")</f>
        <v>Special Parks &amp; Rec</v>
      </c>
      <c r="B30" s="119"/>
      <c r="C30" s="118">
        <f>IF('Spec Parks-911 PSAP'!C59&gt;0,'Spec Parks-911 PSAP'!C59,"  ")</f>
        <v>11</v>
      </c>
      <c r="D30" s="47">
        <f>IF('Spec Parks-911 PSAP'!$E$24&gt;0,'Spec Parks-911 PSAP'!$E$24,"  ")</f>
        <v>55176</v>
      </c>
      <c r="E30" s="49"/>
      <c r="F30" s="49"/>
    </row>
    <row r="31" spans="1:6" x14ac:dyDescent="0.2">
      <c r="A31" s="117" t="str">
        <f>IF(inputPrYr!$B37&gt;"  ",(inputPrYr!$B37),"  ")</f>
        <v>911 PSAP</v>
      </c>
      <c r="B31" s="566"/>
      <c r="C31" s="118">
        <f>IF('Spec Parks-911 PSAP'!C59&gt;0,'Spec Parks-911 PSAP'!C59,"  ")</f>
        <v>11</v>
      </c>
      <c r="D31" s="47">
        <f>IF('Spec Parks-911 PSAP'!$E$51&gt;0,'Spec Parks-911 PSAP'!$E$51,"  ")</f>
        <v>122379</v>
      </c>
      <c r="E31" s="49"/>
      <c r="F31" s="49"/>
    </row>
    <row r="32" spans="1:6" x14ac:dyDescent="0.2">
      <c r="A32" s="117" t="str">
        <f>IF(inputPrYr!$B38&gt;"  ",(inputPrYr!$B38),"  ")</f>
        <v xml:space="preserve">  </v>
      </c>
      <c r="B32" s="119"/>
      <c r="C32" s="118"/>
      <c r="D32" s="47"/>
      <c r="E32" s="49"/>
      <c r="F32" s="49"/>
    </row>
    <row r="33" spans="1:6" x14ac:dyDescent="0.2">
      <c r="A33" s="117" t="str">
        <f>IF(inputPrYr!$B39&gt;"  ",(inputPrYr!$B39),"  ")</f>
        <v xml:space="preserve">  </v>
      </c>
      <c r="B33" s="566"/>
      <c r="C33" s="118"/>
      <c r="D33" s="47"/>
      <c r="E33" s="49"/>
      <c r="F33" s="49"/>
    </row>
    <row r="34" spans="1:6" x14ac:dyDescent="0.2">
      <c r="A34" s="117" t="str">
        <f>IF(inputPrYr!$B44&gt;"  ",(inputPrYr!$B44),"  ")</f>
        <v xml:space="preserve">  </v>
      </c>
      <c r="B34" s="119"/>
      <c r="C34" s="118"/>
      <c r="D34" s="47"/>
      <c r="E34" s="49"/>
      <c r="F34" s="49"/>
    </row>
    <row r="35" spans="1:6" x14ac:dyDescent="0.2">
      <c r="A35" s="117" t="str">
        <f>IF(inputPrYr!$B45&gt;"  ",(inputPrYr!$B45),"  ")</f>
        <v xml:space="preserve">  </v>
      </c>
      <c r="B35" s="120"/>
      <c r="C35" s="118"/>
      <c r="D35" s="47"/>
      <c r="E35" s="49"/>
      <c r="F35" s="49"/>
    </row>
    <row r="36" spans="1:6" x14ac:dyDescent="0.2">
      <c r="A36" s="117" t="str">
        <f>IF(inputPrYr!$B47&gt;"  ",(inputPrYr!$B47),"  ")</f>
        <v>Water &amp; Sewer Utility</v>
      </c>
      <c r="B36" s="566"/>
      <c r="C36" s="118">
        <f>IF(WATER!C49&gt;0,WATER!C49,"  ")</f>
        <v>12</v>
      </c>
      <c r="D36" s="47">
        <f>IF(WATER!$E$41&gt;0,WATER!$E$41,"  ")</f>
        <v>2879337</v>
      </c>
      <c r="E36" s="49"/>
      <c r="F36" s="49"/>
    </row>
    <row r="37" spans="1:6" x14ac:dyDescent="0.2">
      <c r="A37" s="117" t="str">
        <f>IF(inputPrYr!$B48&gt;"  ",(inputPrYr!$B48),"  ")</f>
        <v>Gas Utility</v>
      </c>
      <c r="B37" s="566"/>
      <c r="C37" s="118">
        <f>IF(Gas!C42&gt;0,Gas!C42,"  ")</f>
        <v>13</v>
      </c>
      <c r="D37" s="47" t="str">
        <f>IF(Gas!$E$34&gt;0,Gas!$E$34,"  ")</f>
        <v xml:space="preserve">  </v>
      </c>
      <c r="E37" s="49"/>
      <c r="F37" s="49"/>
    </row>
    <row r="38" spans="1:6" x14ac:dyDescent="0.2">
      <c r="A38" s="117" t="str">
        <f>IF(inputPrYr!$B49&gt;"  ",(inputPrYr!$B49),"  ")</f>
        <v xml:space="preserve">  </v>
      </c>
      <c r="B38" s="119"/>
      <c r="C38" s="118"/>
      <c r="D38" s="47"/>
      <c r="E38" s="49"/>
      <c r="F38" s="49"/>
    </row>
    <row r="39" spans="1:6" x14ac:dyDescent="0.2">
      <c r="A39" s="117" t="str">
        <f>IF(inputPrYr!$B50&gt;"  ",(inputPrYr!$B50),"  ")</f>
        <v xml:space="preserve">  </v>
      </c>
      <c r="B39" s="120"/>
      <c r="C39" s="118"/>
      <c r="D39" s="47"/>
      <c r="E39" s="49"/>
      <c r="F39" s="49"/>
    </row>
    <row r="40" spans="1:6" x14ac:dyDescent="0.2">
      <c r="A40" s="117" t="str">
        <f>IF(inputPrYr!$B53&gt;"  ",(NonBudA!$A3),"  ")</f>
        <v>Non-Budgeted Funds-A</v>
      </c>
      <c r="B40" s="120"/>
      <c r="C40" s="118">
        <f>IF(NonBudA!F37&gt;0,NonBudA!F37,"  ")</f>
        <v>14</v>
      </c>
      <c r="D40" s="47"/>
      <c r="E40" s="49"/>
      <c r="F40" s="49"/>
    </row>
    <row r="41" spans="1:6" x14ac:dyDescent="0.2">
      <c r="A41" s="117" t="str">
        <f>IF(inputPrYr!$B59&gt;"  ",(NonBudB!$A3),"  ")</f>
        <v>Non-Budgeted Funds-B</v>
      </c>
      <c r="B41" s="120"/>
      <c r="C41" s="118">
        <f>IF(NonBudB!F37&gt;0,NonBudB!F37,"  ")</f>
        <v>15</v>
      </c>
      <c r="D41" s="47"/>
      <c r="E41" s="49"/>
      <c r="F41" s="49"/>
    </row>
    <row r="42" spans="1:6" x14ac:dyDescent="0.2">
      <c r="A42" s="117" t="str">
        <f>IF(inputPrYr!$B65&gt;"  ",(NonBudC!$A3),"  ")</f>
        <v>Non-Budgeted Funds-C</v>
      </c>
      <c r="B42" s="566"/>
      <c r="C42" s="118">
        <f>IF(NonBudC!F37&gt;0,NonBudC!F37,"  ")</f>
        <v>16</v>
      </c>
      <c r="D42" s="47"/>
      <c r="E42" s="49"/>
      <c r="F42" s="49"/>
    </row>
    <row r="43" spans="1:6" ht="16.5" thickBot="1" x14ac:dyDescent="0.25">
      <c r="A43" s="117" t="str">
        <f>IF(inputPrYr!$B71&gt;"  ",(NonBudD!$A3),"  ")</f>
        <v>Non-Budgeted Funds-D</v>
      </c>
      <c r="B43" s="119"/>
      <c r="C43" s="118">
        <f>IF(NonBudD!F37&gt;0,NonBudD!F37,"  ")</f>
        <v>17</v>
      </c>
      <c r="D43" s="268"/>
      <c r="E43" s="269"/>
      <c r="F43" s="269"/>
    </row>
    <row r="44" spans="1:6" x14ac:dyDescent="0.2">
      <c r="A44" s="560" t="s">
        <v>178</v>
      </c>
      <c r="B44" s="85"/>
      <c r="C44" s="188" t="s">
        <v>179</v>
      </c>
      <c r="D44" s="50">
        <f>SUM(D19:D43)</f>
        <v>11440301</v>
      </c>
      <c r="E44" s="50">
        <f>SUM(E19:E43)</f>
        <v>1843808</v>
      </c>
      <c r="F44" s="262" t="str">
        <f>IF(SUM(F19:F27)&gt;0, SUM(F19:F27), " ")</f>
        <v xml:space="preserve"> </v>
      </c>
    </row>
    <row r="45" spans="1:6" x14ac:dyDescent="0.2">
      <c r="A45" s="639" t="s">
        <v>180</v>
      </c>
      <c r="B45" s="640"/>
      <c r="C45" s="111"/>
      <c r="D45" s="33"/>
      <c r="E45" s="33"/>
      <c r="F45" s="263" t="s">
        <v>181</v>
      </c>
    </row>
    <row r="46" spans="1:6" x14ac:dyDescent="0.2">
      <c r="A46" s="639" t="s">
        <v>182</v>
      </c>
      <c r="B46" s="640"/>
      <c r="C46" s="111">
        <f>IF('Combined Rate-Bud Hearing Notic'!D59&gt;0, 'Combined Rate-Bud Hearing Notic'!D59, " ")</f>
        <v>18</v>
      </c>
      <c r="D46" s="33"/>
      <c r="E46" s="33"/>
      <c r="F46" s="637"/>
    </row>
    <row r="47" spans="1:6" x14ac:dyDescent="0.2">
      <c r="A47" s="639" t="s">
        <v>183</v>
      </c>
      <c r="B47" s="640"/>
      <c r="C47" s="111"/>
      <c r="D47" s="33"/>
      <c r="E47" s="33"/>
      <c r="F47" s="638"/>
    </row>
    <row r="48" spans="1:6" x14ac:dyDescent="0.2">
      <c r="A48" s="639" t="s">
        <v>118</v>
      </c>
      <c r="B48" s="640"/>
      <c r="C48" s="111"/>
      <c r="D48" s="33"/>
      <c r="E48" s="33"/>
      <c r="F48" s="635" t="str">
        <f>CONCATENATE("Nov 1, ",G1-1," Total Assessed Valuation")</f>
        <v>Nov 1, 2025 Total Assessed Valuation</v>
      </c>
    </row>
    <row r="49" spans="1:9" x14ac:dyDescent="0.2">
      <c r="A49" s="639" t="s">
        <v>184</v>
      </c>
      <c r="B49" s="640"/>
      <c r="C49" s="111"/>
      <c r="D49" s="33"/>
      <c r="E49" s="33"/>
      <c r="F49" s="636"/>
    </row>
    <row r="50" spans="1:9" x14ac:dyDescent="0.2">
      <c r="A50" s="557" t="s">
        <v>185</v>
      </c>
      <c r="B50" s="37"/>
      <c r="C50" s="37"/>
      <c r="D50" s="37"/>
      <c r="E50" s="37"/>
      <c r="F50" s="37"/>
      <c r="G50" s="578"/>
      <c r="I50" s="578"/>
    </row>
    <row r="51" spans="1:9" x14ac:dyDescent="0.2">
      <c r="A51" s="265"/>
      <c r="B51" s="33"/>
      <c r="C51" s="498"/>
      <c r="D51" s="37"/>
      <c r="E51" s="62" t="s">
        <v>186</v>
      </c>
      <c r="F51" s="529">
        <f>inputOth!D21</f>
        <v>46.088999999999999</v>
      </c>
    </row>
    <row r="52" spans="1:9" x14ac:dyDescent="0.2">
      <c r="A52" s="266"/>
      <c r="B52" s="33"/>
      <c r="C52" s="498"/>
      <c r="D52" s="37"/>
      <c r="E52" s="37"/>
      <c r="F52" s="499"/>
    </row>
    <row r="53" spans="1:9" x14ac:dyDescent="0.2">
      <c r="A53" s="557" t="s">
        <v>187</v>
      </c>
      <c r="B53" s="33"/>
      <c r="C53" s="37"/>
      <c r="D53" s="37"/>
      <c r="E53" s="37"/>
      <c r="F53" s="37"/>
      <c r="H53" s="578"/>
    </row>
    <row r="54" spans="1:9" x14ac:dyDescent="0.2">
      <c r="A54" s="265"/>
      <c r="B54" s="33"/>
      <c r="C54" s="33"/>
      <c r="D54" s="33"/>
      <c r="E54" s="33"/>
      <c r="F54" s="33"/>
    </row>
    <row r="55" spans="1:9" x14ac:dyDescent="0.2">
      <c r="A55" s="266"/>
      <c r="B55" s="62"/>
      <c r="C55" s="33" t="s">
        <v>188</v>
      </c>
      <c r="D55" s="33"/>
      <c r="E55" s="33"/>
      <c r="F55" s="33"/>
    </row>
    <row r="56" spans="1:9" x14ac:dyDescent="0.2">
      <c r="A56" s="51" t="s">
        <v>189</v>
      </c>
      <c r="B56" s="62"/>
      <c r="C56" s="557"/>
      <c r="D56" s="33"/>
      <c r="E56" s="33"/>
      <c r="F56" s="33"/>
    </row>
    <row r="57" spans="1:9" x14ac:dyDescent="0.2">
      <c r="A57" s="265"/>
      <c r="B57" s="564"/>
      <c r="C57" s="33" t="s">
        <v>188</v>
      </c>
      <c r="D57" s="33"/>
      <c r="E57" s="37"/>
      <c r="F57" s="37"/>
    </row>
    <row r="58" spans="1:9" x14ac:dyDescent="0.2">
      <c r="A58" s="33"/>
      <c r="B58" s="564"/>
      <c r="C58" s="33"/>
      <c r="D58" s="33"/>
      <c r="E58" s="88"/>
      <c r="F58" s="88"/>
    </row>
    <row r="59" spans="1:9" x14ac:dyDescent="0.2">
      <c r="A59" s="557" t="s">
        <v>190</v>
      </c>
      <c r="B59" s="121">
        <f>G1-1</f>
        <v>2025</v>
      </c>
      <c r="C59" s="33" t="s">
        <v>188</v>
      </c>
      <c r="D59" s="33"/>
      <c r="E59" s="399"/>
      <c r="F59" s="399"/>
    </row>
    <row r="60" spans="1:9" x14ac:dyDescent="0.2">
      <c r="A60" s="60"/>
      <c r="B60" s="33"/>
      <c r="C60" s="33"/>
      <c r="D60" s="33"/>
      <c r="E60" s="88"/>
      <c r="F60" s="88"/>
    </row>
    <row r="61" spans="1:9" x14ac:dyDescent="0.2">
      <c r="A61" s="558" t="s">
        <v>191</v>
      </c>
      <c r="B61" s="33"/>
      <c r="C61" s="33" t="s">
        <v>188</v>
      </c>
      <c r="D61" s="33"/>
      <c r="E61" s="399"/>
      <c r="F61" s="399"/>
    </row>
    <row r="62" spans="1:9" x14ac:dyDescent="0.2">
      <c r="A62" s="558"/>
      <c r="B62" s="33"/>
      <c r="C62" s="33"/>
      <c r="D62" s="33"/>
      <c r="E62" s="36"/>
      <c r="F62" s="33"/>
    </row>
    <row r="63" spans="1:9" x14ac:dyDescent="0.2">
      <c r="A63" s="558"/>
      <c r="B63" s="33"/>
      <c r="C63" s="33" t="s">
        <v>188</v>
      </c>
      <c r="D63" s="33"/>
      <c r="E63" s="33"/>
      <c r="F63" s="33"/>
    </row>
    <row r="64" spans="1:9" x14ac:dyDescent="0.2">
      <c r="A64" s="558"/>
      <c r="B64" s="33"/>
      <c r="C64" s="634" t="s">
        <v>192</v>
      </c>
      <c r="D64" s="614"/>
      <c r="E64" s="614"/>
      <c r="F64" s="614"/>
    </row>
    <row r="65" spans="1:6" x14ac:dyDescent="0.2">
      <c r="A65" s="33"/>
      <c r="B65" s="33"/>
      <c r="C65" s="33"/>
      <c r="D65" s="33"/>
      <c r="E65" s="33"/>
      <c r="F65" s="33"/>
    </row>
    <row r="66" spans="1:6" x14ac:dyDescent="0.2">
      <c r="A66" s="495" t="s">
        <v>160</v>
      </c>
      <c r="B66" s="98"/>
      <c r="C66" s="98"/>
      <c r="D66" s="98"/>
      <c r="E66" s="98"/>
      <c r="F66" s="479"/>
    </row>
    <row r="67" spans="1:6" x14ac:dyDescent="0.2">
      <c r="A67" s="355"/>
      <c r="B67" s="33"/>
      <c r="C67" s="33"/>
      <c r="D67" s="33"/>
      <c r="E67" s="33"/>
      <c r="F67" s="356"/>
    </row>
    <row r="68" spans="1:6" x14ac:dyDescent="0.2">
      <c r="A68" s="480"/>
      <c r="B68" s="61"/>
      <c r="C68" s="61"/>
      <c r="D68" s="61"/>
      <c r="E68" s="61"/>
      <c r="F68" s="81"/>
    </row>
    <row r="69" spans="1:6" x14ac:dyDescent="0.2">
      <c r="A69" s="33"/>
      <c r="B69" s="33"/>
      <c r="C69" s="33"/>
      <c r="D69" s="33"/>
      <c r="E69" s="33"/>
      <c r="F69" s="33"/>
    </row>
    <row r="75" spans="1:6" ht="15" x14ac:dyDescent="0.2">
      <c r="A75" s="29"/>
      <c r="B75" s="29"/>
      <c r="C75" s="29"/>
      <c r="D75" s="29"/>
      <c r="E75" s="29"/>
      <c r="F75" s="29"/>
    </row>
    <row r="76" spans="1:6" ht="15" x14ac:dyDescent="0.2">
      <c r="A76" s="29"/>
      <c r="B76" s="29"/>
      <c r="C76" s="29"/>
      <c r="D76" s="29"/>
      <c r="E76" s="29"/>
      <c r="F76" s="29"/>
    </row>
    <row r="77" spans="1:6" ht="15" x14ac:dyDescent="0.2">
      <c r="A77" s="29"/>
      <c r="B77" s="29"/>
      <c r="C77" s="29"/>
      <c r="D77" s="29"/>
      <c r="E77" s="29"/>
      <c r="F77" s="29"/>
    </row>
    <row r="78" spans="1:6" ht="15" x14ac:dyDescent="0.2">
      <c r="A78" s="29"/>
      <c r="B78" s="29"/>
      <c r="C78" s="29"/>
      <c r="D78" s="29"/>
      <c r="E78" s="29"/>
      <c r="F78" s="29"/>
    </row>
    <row r="79" spans="1:6" ht="15" x14ac:dyDescent="0.2">
      <c r="A79" s="29"/>
      <c r="B79" s="29"/>
      <c r="C79" s="29"/>
      <c r="D79" s="29"/>
      <c r="E79" s="29"/>
      <c r="F79" s="29"/>
    </row>
    <row r="80" spans="1:6" ht="15" x14ac:dyDescent="0.2">
      <c r="A80" s="29"/>
      <c r="B80" s="29"/>
      <c r="C80" s="29"/>
      <c r="D80" s="29"/>
      <c r="E80" s="29"/>
      <c r="F80" s="29"/>
    </row>
    <row r="81" spans="1:6" ht="15" x14ac:dyDescent="0.2">
      <c r="A81" s="29"/>
      <c r="B81" s="29"/>
      <c r="C81" s="29"/>
      <c r="D81" s="29"/>
      <c r="E81" s="29"/>
      <c r="F81" s="29"/>
    </row>
    <row r="82" spans="1:6" ht="15" x14ac:dyDescent="0.2">
      <c r="A82" s="29"/>
      <c r="B82" s="29"/>
      <c r="C82" s="29"/>
      <c r="D82" s="29"/>
      <c r="E82" s="29"/>
      <c r="F82" s="29"/>
    </row>
    <row r="83" spans="1:6" ht="15" x14ac:dyDescent="0.2">
      <c r="A83" s="29"/>
      <c r="B83" s="29"/>
      <c r="C83" s="29"/>
      <c r="D83" s="29"/>
      <c r="E83" s="29"/>
      <c r="F83" s="29"/>
    </row>
    <row r="84" spans="1:6" ht="15" x14ac:dyDescent="0.2">
      <c r="A84" s="29"/>
      <c r="B84" s="29"/>
      <c r="C84" s="29"/>
      <c r="D84" s="29"/>
      <c r="E84" s="29"/>
      <c r="F84" s="29"/>
    </row>
    <row r="85" spans="1:6" ht="15" x14ac:dyDescent="0.2">
      <c r="A85" s="29"/>
      <c r="B85" s="29"/>
      <c r="C85" s="29"/>
      <c r="D85" s="29"/>
      <c r="E85" s="29"/>
      <c r="F85" s="29"/>
    </row>
    <row r="86" spans="1:6" ht="15" x14ac:dyDescent="0.2">
      <c r="A86" s="29"/>
      <c r="B86" s="29"/>
      <c r="C86" s="29"/>
      <c r="D86" s="29"/>
      <c r="E86" s="29"/>
      <c r="F86" s="29"/>
    </row>
    <row r="87" spans="1:6" ht="15" x14ac:dyDescent="0.2">
      <c r="A87" s="29"/>
      <c r="B87" s="29"/>
      <c r="C87" s="29"/>
      <c r="D87" s="29"/>
      <c r="E87" s="29"/>
      <c r="F87" s="29"/>
    </row>
    <row r="88" spans="1:6" ht="15" x14ac:dyDescent="0.2">
      <c r="A88" s="29"/>
      <c r="B88" s="29"/>
      <c r="C88" s="29"/>
      <c r="D88" s="29"/>
      <c r="E88" s="29"/>
      <c r="F88" s="29"/>
    </row>
    <row r="89" spans="1:6" ht="15" x14ac:dyDescent="0.2">
      <c r="A89" s="29"/>
      <c r="B89" s="29"/>
      <c r="C89" s="29"/>
      <c r="D89" s="29"/>
      <c r="E89" s="29"/>
      <c r="F89" s="29"/>
    </row>
    <row r="90" spans="1:6" ht="15" x14ac:dyDescent="0.2">
      <c r="A90" s="29"/>
      <c r="B90" s="29"/>
      <c r="C90" s="29"/>
      <c r="D90" s="29"/>
      <c r="E90" s="29"/>
      <c r="F90" s="29"/>
    </row>
    <row r="93" spans="1:6" x14ac:dyDescent="0.2">
      <c r="A93" s="30"/>
      <c r="B93" s="30"/>
      <c r="C93" s="30"/>
      <c r="D93" s="30"/>
      <c r="E93" s="30"/>
      <c r="F93" s="30"/>
    </row>
  </sheetData>
  <mergeCells count="11">
    <mergeCell ref="F10:F12"/>
    <mergeCell ref="A4:F4"/>
    <mergeCell ref="A2:F2"/>
    <mergeCell ref="C64:F64"/>
    <mergeCell ref="F48:F49"/>
    <mergeCell ref="F46:F47"/>
    <mergeCell ref="A45:B45"/>
    <mergeCell ref="A46:B46"/>
    <mergeCell ref="A47:B47"/>
    <mergeCell ref="A48:B48"/>
    <mergeCell ref="A49:B49"/>
  </mergeCells>
  <phoneticPr fontId="0" type="noConversion"/>
  <pageMargins left="0.99" right="0.5" top="1" bottom="0.5" header="0.5" footer="0.25"/>
  <pageSetup scale="71" orientation="portrait" blackAndWhite="1" r:id="rId1"/>
  <headerFooter alignWithMargins="0">
    <oddHeader xml:space="preserve">&amp;RState of Kansas
City
</oddHeader>
    <oddFooter>&amp;C   Page No.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7BDFB-4A95-4100-BFA1-068376DA59CF}">
  <sheetPr>
    <tabColor rgb="FF00B0F0"/>
  </sheetPr>
  <dimension ref="A1"/>
  <sheetViews>
    <sheetView tabSelected="1" workbookViewId="0"/>
  </sheetViews>
  <sheetFormatPr defaultRowHeight="15" x14ac:dyDescent="0.2"/>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pageSetUpPr fitToPage="1"/>
  </sheetPr>
  <dimension ref="A1:I35"/>
  <sheetViews>
    <sheetView workbookViewId="0">
      <selection activeCell="H19" sqref="H19"/>
    </sheetView>
  </sheetViews>
  <sheetFormatPr defaultColWidth="8.88671875" defaultRowHeight="15.75" x14ac:dyDescent="0.2"/>
  <cols>
    <col min="1" max="1" width="8.88671875" style="64"/>
    <col min="2" max="2" width="17.88671875" style="64" customWidth="1"/>
    <col min="3" max="3" width="16.109375" style="64" customWidth="1"/>
    <col min="4" max="8" width="12.77734375" style="64" customWidth="1"/>
    <col min="9" max="9" width="10.21875" style="64" customWidth="1"/>
    <col min="10" max="16384" width="8.88671875" style="64"/>
  </cols>
  <sheetData>
    <row r="1" spans="1:9" x14ac:dyDescent="0.2">
      <c r="A1" s="33"/>
      <c r="B1" s="51" t="str">
        <f>inputPrYr!D3</f>
        <v>City of Concordia</v>
      </c>
      <c r="C1" s="51"/>
      <c r="D1" s="33"/>
      <c r="E1" s="33"/>
      <c r="F1" s="33"/>
      <c r="G1" s="33"/>
      <c r="H1" s="33"/>
      <c r="I1" s="33">
        <f>inputPrYr!C6</f>
        <v>2026</v>
      </c>
    </row>
    <row r="2" spans="1:9" x14ac:dyDescent="0.2">
      <c r="A2" s="33"/>
      <c r="B2" s="33"/>
      <c r="C2" s="33"/>
      <c r="D2" s="33"/>
      <c r="E2" s="33"/>
      <c r="F2" s="33"/>
      <c r="G2" s="33"/>
      <c r="H2" s="33"/>
      <c r="I2" s="33"/>
    </row>
    <row r="3" spans="1:9" x14ac:dyDescent="0.2">
      <c r="A3" s="644" t="s">
        <v>193</v>
      </c>
      <c r="B3" s="645"/>
      <c r="C3" s="645"/>
      <c r="D3" s="645"/>
      <c r="E3" s="645"/>
      <c r="F3" s="645"/>
      <c r="G3" s="645"/>
      <c r="H3" s="645"/>
      <c r="I3" s="645"/>
    </row>
    <row r="4" spans="1:9" x14ac:dyDescent="0.2">
      <c r="A4" s="33"/>
      <c r="B4" s="33"/>
      <c r="C4" s="234"/>
      <c r="D4" s="35"/>
      <c r="E4" s="35"/>
      <c r="F4" s="33"/>
      <c r="G4" s="33"/>
      <c r="H4" s="33"/>
      <c r="I4" s="33"/>
    </row>
    <row r="5" spans="1:9" ht="21" customHeight="1" x14ac:dyDescent="0.2">
      <c r="A5" s="33"/>
      <c r="B5" s="194" t="s">
        <v>194</v>
      </c>
      <c r="C5" s="472" t="s">
        <v>195</v>
      </c>
      <c r="D5" s="641" t="str">
        <f>CONCATENATE("Allocation for Year ",I1,"")</f>
        <v>Allocation for Year 2026</v>
      </c>
      <c r="E5" s="642"/>
      <c r="F5" s="642"/>
      <c r="G5" s="642"/>
      <c r="H5" s="643"/>
      <c r="I5" s="33"/>
    </row>
    <row r="6" spans="1:9" x14ac:dyDescent="0.2">
      <c r="A6" s="33"/>
      <c r="B6" s="46" t="str">
        <f>CONCATENATE("for ",I1-1,"")</f>
        <v>for 2025</v>
      </c>
      <c r="C6" s="46" t="str">
        <f>CONCATENATE("Tax Year ",I1-2,"")</f>
        <v>Tax Year 2024</v>
      </c>
      <c r="D6" s="45" t="s">
        <v>196</v>
      </c>
      <c r="E6" s="45" t="s">
        <v>197</v>
      </c>
      <c r="F6" s="45" t="s">
        <v>198</v>
      </c>
      <c r="G6" s="471" t="s">
        <v>199</v>
      </c>
      <c r="H6" s="471" t="s">
        <v>200</v>
      </c>
      <c r="I6" s="559"/>
    </row>
    <row r="7" spans="1:9" x14ac:dyDescent="0.2">
      <c r="A7" s="33"/>
      <c r="B7" s="47" t="str">
        <f>(inputPrYr!B17)</f>
        <v>General</v>
      </c>
      <c r="C7" s="111">
        <f>(inputPrYr!E17)</f>
        <v>1298664</v>
      </c>
      <c r="D7" s="111">
        <f>IF(inputPrYr!E17=0,0,D22-SUM(D8:D19))</f>
        <v>148037</v>
      </c>
      <c r="E7" s="111">
        <f>IF(inputPrYr!E17=0,0,E23-SUM(E8:E19))</f>
        <v>1965</v>
      </c>
      <c r="F7" s="111">
        <f>IF(inputPrYr!E17=0,0,F24-SUM(F8:F19))</f>
        <v>885</v>
      </c>
      <c r="G7" s="111">
        <f>IF(inputPrYr!E17=0,0,G25-SUM(G8:G19))</f>
        <v>9981</v>
      </c>
      <c r="H7" s="111">
        <f>IF(inputPrYr!E17=0,0,H26-SUM(H8:H19))</f>
        <v>702</v>
      </c>
      <c r="I7" s="558"/>
    </row>
    <row r="8" spans="1:9" x14ac:dyDescent="0.2">
      <c r="A8" s="33"/>
      <c r="B8" s="47" t="str">
        <f>IF(inputPrYr!$B18&gt;"  ",(inputPrYr!$B18),"  ")</f>
        <v>Debt Service</v>
      </c>
      <c r="C8" s="111">
        <f>IF(inputPrYr!$E18&gt;0,(inputPrYr!$E18),"  ")</f>
        <v>159822</v>
      </c>
      <c r="D8" s="111">
        <f>IF(inputPrYr!E18&gt;0,ROUND(C8*$D$29,0),"  ")</f>
        <v>18218</v>
      </c>
      <c r="E8" s="111">
        <f>IF(inputPrYr!E18&gt;0,ROUND(+C8*E$30,0)," ")</f>
        <v>242</v>
      </c>
      <c r="F8" s="111">
        <f>IF(inputPrYr!E18&gt;0,ROUND(C8*F$31,0)," ")</f>
        <v>109</v>
      </c>
      <c r="G8" s="111">
        <f>IF(inputPrYr!E18&gt;0,ROUND(C8*G$32,0)," ")</f>
        <v>1228</v>
      </c>
      <c r="H8" s="111">
        <f>IF(inputPrYr!E18&gt;0,ROUND(C8*H$33,0)," ")</f>
        <v>86</v>
      </c>
      <c r="I8" s="558"/>
    </row>
    <row r="9" spans="1:9" x14ac:dyDescent="0.2">
      <c r="A9" s="33"/>
      <c r="B9" s="47" t="str">
        <f>IF(inputPrYr!$B19&gt;"  ",(inputPrYr!$B19),"  ")</f>
        <v>Library</v>
      </c>
      <c r="C9" s="111">
        <f>IF(inputPrYr!$E19&gt;0,(inputPrYr!$E19),"  ")</f>
        <v>174951</v>
      </c>
      <c r="D9" s="111">
        <f>IF(inputPrYr!E19&gt;0,ROUND(C9*$D$29,0),"  ")</f>
        <v>19943</v>
      </c>
      <c r="E9" s="111">
        <f>IF(inputPrYr!E19&gt;0,ROUND(+C9*E$30,0)," ")</f>
        <v>265</v>
      </c>
      <c r="F9" s="111">
        <f>IF(inputPrYr!E19&gt;0,ROUND(+C9*F$31,0)," ")</f>
        <v>119</v>
      </c>
      <c r="G9" s="111">
        <f>IF(inputPrYr!E19&gt;0,ROUND(C9*G$32,0)," ")</f>
        <v>1345</v>
      </c>
      <c r="H9" s="111">
        <f>IF(inputPrYr!E19&gt;0,ROUND(C9*H$33,0)," ")</f>
        <v>95</v>
      </c>
      <c r="I9" s="558"/>
    </row>
    <row r="10" spans="1:9" x14ac:dyDescent="0.2">
      <c r="A10" s="33"/>
      <c r="B10" s="47" t="str">
        <f>IF(inputPrYr!$B21&gt;"  ",(inputPrYr!$B21),"  ")</f>
        <v>Library Employee Benefit</v>
      </c>
      <c r="C10" s="111">
        <f>IF(inputPrYr!$E21&gt;0,(inputPrYr!$E21),"  ")</f>
        <v>64689</v>
      </c>
      <c r="D10" s="111">
        <f>IF(inputPrYr!E21&gt;0,ROUND(C10*$D$29,0),"  ")</f>
        <v>7374</v>
      </c>
      <c r="E10" s="111">
        <f>IF(inputPrYr!E21&gt;0,ROUND(+C10*E$30,0)," ")</f>
        <v>98</v>
      </c>
      <c r="F10" s="111">
        <f>IF(inputPrYr!E21&gt;0,ROUND(+C10*F$31,0)," ")</f>
        <v>44</v>
      </c>
      <c r="G10" s="111">
        <f>IF(inputPrYr!E21&gt;0,ROUND(C10*G$32,0)," ")</f>
        <v>497</v>
      </c>
      <c r="H10" s="111">
        <f>IF(inputPrYr!E21&gt;0,ROUND(C10*H$33,0)," ")</f>
        <v>35</v>
      </c>
      <c r="I10" s="558"/>
    </row>
    <row r="11" spans="1:9" x14ac:dyDescent="0.2">
      <c r="A11" s="33"/>
      <c r="B11" s="47" t="str">
        <f>IF(inputPrYr!$B22&gt;"  ",(inputPrYr!$B22),"  ")</f>
        <v>Economic Development</v>
      </c>
      <c r="C11" s="111">
        <f>IF(inputPrYr!$E22&gt;0,(inputPrYr!$E22),"  ")</f>
        <v>43574</v>
      </c>
      <c r="D11" s="111">
        <f>IF(inputPrYr!E22&gt;0,ROUND(C11*$D$29,0),"  ")</f>
        <v>4967</v>
      </c>
      <c r="E11" s="111">
        <f>IF(inputPrYr!E22&gt;0,ROUND(+C11*E$30,0)," ")</f>
        <v>66</v>
      </c>
      <c r="F11" s="111">
        <f>IF(inputPrYr!E22&gt;0,ROUND(+C11*F$31,0)," ")</f>
        <v>30</v>
      </c>
      <c r="G11" s="111">
        <f>IF(inputPrYr!E22&gt;0,ROUND(C11*G$32,0)," ")</f>
        <v>335</v>
      </c>
      <c r="H11" s="111">
        <f>IF(inputPrYr!E22&gt;0,ROUND(C11*H$33,0)," ")</f>
        <v>24</v>
      </c>
      <c r="I11" s="558"/>
    </row>
    <row r="12" spans="1:9" x14ac:dyDescent="0.2">
      <c r="A12" s="33"/>
      <c r="B12" s="47" t="str">
        <f>IF(inputPrYr!$B23&gt;"  ",(inputPrYr!$B23),"  ")</f>
        <v xml:space="preserve">  </v>
      </c>
      <c r="C12" s="111" t="str">
        <f>IF(inputPrYr!$E23&gt;0,(inputPrYr!$E23),"  ")</f>
        <v xml:space="preserve">  </v>
      </c>
      <c r="D12" s="111" t="str">
        <f>IF(inputPrYr!E23&gt;0,ROUND(C12*$D$29,0),"  ")</f>
        <v xml:space="preserve">  </v>
      </c>
      <c r="E12" s="111" t="str">
        <f>IF(inputPrYr!E23&gt;0,ROUND(+C12*E$30,0)," ")</f>
        <v xml:space="preserve"> </v>
      </c>
      <c r="F12" s="111" t="str">
        <f>IF(inputPrYr!E23&gt;0,ROUND(+C12*F$31,0)," ")</f>
        <v xml:space="preserve"> </v>
      </c>
      <c r="G12" s="111" t="str">
        <f>IF(inputPrYr!E23&gt;0,ROUND(C12*G$32,0)," ")</f>
        <v xml:space="preserve"> </v>
      </c>
      <c r="H12" s="111" t="str">
        <f>IF(inputPrYr!E23&gt;0,ROUND(C12*H$33,0)," ")</f>
        <v xml:space="preserve"> </v>
      </c>
      <c r="I12" s="558"/>
    </row>
    <row r="13" spans="1:9" x14ac:dyDescent="0.2">
      <c r="A13" s="33"/>
      <c r="B13" s="47" t="str">
        <f>IF(inputPrYr!$B24&gt;"  ",(inputPrYr!$B24),"  ")</f>
        <v xml:space="preserve">  </v>
      </c>
      <c r="C13" s="111" t="str">
        <f>IF(inputPrYr!$E24&gt;0,(inputPrYr!$E24),"  ")</f>
        <v xml:space="preserve">  </v>
      </c>
      <c r="D13" s="111" t="str">
        <f>IF(inputPrYr!E24&gt;0,ROUND(C13*$D$29,0),"  ")</f>
        <v xml:space="preserve">  </v>
      </c>
      <c r="E13" s="111" t="str">
        <f>IF(inputPrYr!E24&gt;0,ROUND(+C13*E$30,0)," ")</f>
        <v xml:space="preserve"> </v>
      </c>
      <c r="F13" s="111" t="str">
        <f>IF(inputPrYr!E24&gt;0,ROUND(+C13*F$31,0)," ")</f>
        <v xml:space="preserve"> </v>
      </c>
      <c r="G13" s="111" t="str">
        <f>IF(inputPrYr!E24&gt;0,ROUND(C13*G$32,0)," ")</f>
        <v xml:space="preserve"> </v>
      </c>
      <c r="H13" s="111" t="str">
        <f>IF(inputPrYr!E24&gt;0,ROUND(C13*H$33,0)," ")</f>
        <v xml:space="preserve"> </v>
      </c>
      <c r="I13" s="558"/>
    </row>
    <row r="14" spans="1:9" x14ac:dyDescent="0.2">
      <c r="A14" s="33"/>
      <c r="B14" s="47" t="str">
        <f>IF(inputPrYr!$B25&gt;"  ",(inputPrYr!$B25),"  ")</f>
        <v xml:space="preserve">  </v>
      </c>
      <c r="C14" s="111" t="str">
        <f>IF(inputPrYr!$E25&gt;0,(inputPrYr!$E25),"  ")</f>
        <v xml:space="preserve">  </v>
      </c>
      <c r="D14" s="111" t="str">
        <f>IF(inputPrYr!E25&gt;0,ROUND(C14*$D$29,0),"  ")</f>
        <v xml:space="preserve">  </v>
      </c>
      <c r="E14" s="111" t="str">
        <f>IF(inputPrYr!E25&gt;0,ROUND(+C14*E$30,0)," ")</f>
        <v xml:space="preserve"> </v>
      </c>
      <c r="F14" s="111" t="str">
        <f>IF(inputPrYr!E25&gt;0,ROUND(+C14*F$31,0)," ")</f>
        <v xml:space="preserve"> </v>
      </c>
      <c r="G14" s="111" t="str">
        <f>IF(inputPrYr!E25&gt;0,ROUND(C14*G$32,0)," ")</f>
        <v xml:space="preserve"> </v>
      </c>
      <c r="H14" s="111" t="str">
        <f>IF(inputPrYr!E25&gt;0,ROUND(C14*H$33,0)," ")</f>
        <v xml:space="preserve"> </v>
      </c>
      <c r="I14" s="558"/>
    </row>
    <row r="15" spans="1:9" x14ac:dyDescent="0.2">
      <c r="A15" s="33"/>
      <c r="B15" s="47" t="str">
        <f>IF(inputPrYr!$B26&gt;"  ",(inputPrYr!$B26),"  ")</f>
        <v xml:space="preserve">  </v>
      </c>
      <c r="C15" s="111" t="str">
        <f>IF(inputPrYr!$E26&gt;0,(inputPrYr!$E26),"  ")</f>
        <v xml:space="preserve">  </v>
      </c>
      <c r="D15" s="111" t="str">
        <f>IF(inputPrYr!E26&gt;0,ROUND(C15*$D$29,0),"  ")</f>
        <v xml:space="preserve">  </v>
      </c>
      <c r="E15" s="111" t="str">
        <f>IF(inputPrYr!E26&gt;0,ROUND(+C15*E$30,0)," ")</f>
        <v xml:space="preserve"> </v>
      </c>
      <c r="F15" s="111" t="str">
        <f>IF(inputPrYr!E26&gt;0,ROUND(+C15*F$31,0)," ")</f>
        <v xml:space="preserve"> </v>
      </c>
      <c r="G15" s="111" t="str">
        <f>IF(inputPrYr!E26&gt;0,ROUND(C15*G$32,0)," ")</f>
        <v xml:space="preserve"> </v>
      </c>
      <c r="H15" s="111" t="str">
        <f>IF(inputPrYr!E26&gt;0,ROUND(C15*H$33,0)," ")</f>
        <v xml:space="preserve"> </v>
      </c>
      <c r="I15" s="558"/>
    </row>
    <row r="16" spans="1:9" x14ac:dyDescent="0.2">
      <c r="A16" s="33"/>
      <c r="B16" s="47" t="str">
        <f>IF(inputPrYr!$B27&gt;"  ",(inputPrYr!$B27),"  ")</f>
        <v xml:space="preserve">  </v>
      </c>
      <c r="C16" s="111" t="str">
        <f>IF(inputPrYr!$E27&gt;0,(inputPrYr!$E27),"  ")</f>
        <v xml:space="preserve">  </v>
      </c>
      <c r="D16" s="111" t="str">
        <f>IF(inputPrYr!E27&gt;0,ROUND(C16*$D$29,0),"  ")</f>
        <v xml:space="preserve">  </v>
      </c>
      <c r="E16" s="111" t="str">
        <f>IF(inputPrYr!E27&gt;0,ROUND(+C16*E$30,0)," ")</f>
        <v xml:space="preserve"> </v>
      </c>
      <c r="F16" s="111" t="str">
        <f>IF(inputPrYr!E27&gt;0,ROUND(+C16*F$31,0)," ")</f>
        <v xml:space="preserve"> </v>
      </c>
      <c r="G16" s="111" t="str">
        <f>IF(inputPrYr!E27&gt;0,ROUND(C16*G$32,0)," ")</f>
        <v xml:space="preserve"> </v>
      </c>
      <c r="H16" s="111" t="str">
        <f>IF(inputPrYr!E27&gt;0,ROUND(C16*H$33,0)," ")</f>
        <v xml:space="preserve"> </v>
      </c>
      <c r="I16" s="558"/>
    </row>
    <row r="17" spans="1:9" x14ac:dyDescent="0.2">
      <c r="A17" s="33"/>
      <c r="B17" s="47" t="str">
        <f>IF(inputPrYr!$B28&gt;"  ",(inputPrYr!$B28),"  ")</f>
        <v xml:space="preserve">  </v>
      </c>
      <c r="C17" s="111" t="str">
        <f>IF(inputPrYr!$E28&gt;0,(inputPrYr!$E28),"  ")</f>
        <v xml:space="preserve">  </v>
      </c>
      <c r="D17" s="111" t="str">
        <f>IF(inputPrYr!E28&gt;0,ROUND(C17*$D$29,0),"  ")</f>
        <v xml:space="preserve">  </v>
      </c>
      <c r="E17" s="111" t="str">
        <f>IF(inputPrYr!E28&gt;0,ROUND(+C17*E$30,0)," ")</f>
        <v xml:space="preserve"> </v>
      </c>
      <c r="F17" s="111" t="str">
        <f>IF(inputPrYr!E28&gt;0,ROUND(+C17*F$31,0)," ")</f>
        <v xml:space="preserve"> </v>
      </c>
      <c r="G17" s="111" t="str">
        <f>IF(inputPrYr!E28&gt;0,ROUND(C17*G$32,0)," ")</f>
        <v xml:space="preserve"> </v>
      </c>
      <c r="H17" s="111" t="str">
        <f>IF(inputPrYr!E28&gt;0,ROUND(C17*H$33,0)," ")</f>
        <v xml:space="preserve"> </v>
      </c>
      <c r="I17" s="558"/>
    </row>
    <row r="18" spans="1:9" x14ac:dyDescent="0.2">
      <c r="A18" s="33"/>
      <c r="B18" s="47" t="str">
        <f>IF(inputPrYr!$B29&gt;"  ",(inputPrYr!$B29),"  ")</f>
        <v xml:space="preserve">  </v>
      </c>
      <c r="C18" s="111" t="str">
        <f>IF(inputPrYr!$E29&gt;0,(inputPrYr!$E29),"  ")</f>
        <v xml:space="preserve">  </v>
      </c>
      <c r="D18" s="111" t="str">
        <f>IF(inputPrYr!E29&gt;0,ROUND(C18*$D$29,0),"  ")</f>
        <v xml:space="preserve">  </v>
      </c>
      <c r="E18" s="111" t="str">
        <f>IF(inputPrYr!E29&gt;0,ROUND(+C18*E$30,0)," ")</f>
        <v xml:space="preserve"> </v>
      </c>
      <c r="F18" s="111" t="str">
        <f>IF(inputPrYr!E29&gt;0,ROUND(+C18*F$31,0)," ")</f>
        <v xml:space="preserve"> </v>
      </c>
      <c r="G18" s="111" t="str">
        <f>IF(inputPrYr!E29&gt;0,ROUND(C18*G$32,0)," ")</f>
        <v xml:space="preserve"> </v>
      </c>
      <c r="H18" s="111" t="str">
        <f>IF(inputPrYr!E29&gt;0,ROUND(C18*H$33,0)," ")</f>
        <v xml:space="preserve"> </v>
      </c>
      <c r="I18" s="558"/>
    </row>
    <row r="19" spans="1:9" x14ac:dyDescent="0.2">
      <c r="A19" s="33"/>
      <c r="B19" s="47" t="str">
        <f>IF(inputPrYr!$B30&gt;"  ",(inputPrYr!$B30),"  ")</f>
        <v xml:space="preserve">  </v>
      </c>
      <c r="C19" s="111" t="str">
        <f>IF(inputPrYr!$E30&gt;0,(inputPrYr!$E30),"  ")</f>
        <v xml:space="preserve">  </v>
      </c>
      <c r="D19" s="111" t="str">
        <f>IF(inputPrYr!E30&gt;0,ROUND(C19*$D$29,0),"  ")</f>
        <v xml:space="preserve">  </v>
      </c>
      <c r="E19" s="111" t="str">
        <f>IF(inputPrYr!E30&gt;0,ROUND(+C19*E$30,0)," ")</f>
        <v xml:space="preserve"> </v>
      </c>
      <c r="F19" s="111" t="str">
        <f>IF(inputPrYr!E30&gt;0,ROUND(+C19*F$31,0)," ")</f>
        <v xml:space="preserve"> </v>
      </c>
      <c r="G19" s="111" t="str">
        <f>IF(inputPrYr!E30&gt;0,ROUND(C19*G$32,0)," ")</f>
        <v xml:space="preserve"> </v>
      </c>
      <c r="H19" s="111" t="str">
        <f>IF(inputPrYr!E30&gt;0,ROUND(C19*H$33,0)," ")</f>
        <v xml:space="preserve"> </v>
      </c>
      <c r="I19" s="558"/>
    </row>
    <row r="20" spans="1:9" ht="16.5" thickBot="1" x14ac:dyDescent="0.25">
      <c r="A20" s="33"/>
      <c r="B20" s="33" t="s">
        <v>201</v>
      </c>
      <c r="C20" s="235">
        <f t="shared" ref="C20:H20" si="0">SUM(C7:C19)</f>
        <v>1741700</v>
      </c>
      <c r="D20" s="235">
        <f t="shared" si="0"/>
        <v>198539</v>
      </c>
      <c r="E20" s="235">
        <f t="shared" si="0"/>
        <v>2636</v>
      </c>
      <c r="F20" s="235">
        <f t="shared" si="0"/>
        <v>1187</v>
      </c>
      <c r="G20" s="235">
        <f t="shared" si="0"/>
        <v>13386</v>
      </c>
      <c r="H20" s="235">
        <f t="shared" si="0"/>
        <v>942</v>
      </c>
      <c r="I20" s="33"/>
    </row>
    <row r="21" spans="1:9" ht="16.5" thickTop="1" x14ac:dyDescent="0.2">
      <c r="A21" s="33"/>
      <c r="B21" s="33"/>
      <c r="C21" s="51"/>
      <c r="D21" s="51"/>
      <c r="E21" s="51"/>
      <c r="F21" s="51"/>
      <c r="G21" s="51"/>
      <c r="H21" s="51"/>
      <c r="I21" s="33"/>
    </row>
    <row r="22" spans="1:9" x14ac:dyDescent="0.2">
      <c r="A22" s="33"/>
      <c r="B22" s="473" t="s">
        <v>202</v>
      </c>
      <c r="C22" s="53"/>
      <c r="D22" s="236">
        <f>(inputOth!E43)</f>
        <v>198539</v>
      </c>
      <c r="E22" s="53"/>
      <c r="F22" s="33"/>
      <c r="G22" s="33"/>
      <c r="H22" s="33"/>
      <c r="I22" s="33"/>
    </row>
    <row r="23" spans="1:9" x14ac:dyDescent="0.2">
      <c r="A23" s="33"/>
      <c r="B23" s="473" t="s">
        <v>203</v>
      </c>
      <c r="C23" s="33"/>
      <c r="D23" s="33"/>
      <c r="E23" s="236">
        <f>(inputOth!E44)</f>
        <v>2636</v>
      </c>
      <c r="F23" s="33"/>
      <c r="G23" s="33"/>
      <c r="H23" s="33"/>
      <c r="I23" s="33"/>
    </row>
    <row r="24" spans="1:9" x14ac:dyDescent="0.2">
      <c r="A24" s="33"/>
      <c r="B24" s="473" t="s">
        <v>204</v>
      </c>
      <c r="C24" s="33"/>
      <c r="D24" s="33"/>
      <c r="E24" s="33"/>
      <c r="F24" s="236">
        <f>inputOth!E45</f>
        <v>1187</v>
      </c>
      <c r="G24" s="51"/>
      <c r="H24" s="51"/>
      <c r="I24" s="33"/>
    </row>
    <row r="25" spans="1:9" x14ac:dyDescent="0.2">
      <c r="A25" s="33"/>
      <c r="B25" s="465" t="s">
        <v>205</v>
      </c>
      <c r="C25" s="33"/>
      <c r="D25" s="33"/>
      <c r="E25" s="33"/>
      <c r="F25" s="51"/>
      <c r="G25" s="236">
        <f>inputOth!E46</f>
        <v>13386</v>
      </c>
      <c r="H25" s="51"/>
      <c r="I25" s="33"/>
    </row>
    <row r="26" spans="1:9" x14ac:dyDescent="0.2">
      <c r="A26" s="33"/>
      <c r="B26" s="465" t="s">
        <v>206</v>
      </c>
      <c r="C26" s="33"/>
      <c r="D26" s="33"/>
      <c r="E26" s="33"/>
      <c r="F26" s="51"/>
      <c r="G26" s="51"/>
      <c r="H26" s="236">
        <f>inputOth!E47</f>
        <v>942</v>
      </c>
      <c r="I26" s="33"/>
    </row>
    <row r="27" spans="1:9" x14ac:dyDescent="0.2">
      <c r="A27" s="33"/>
      <c r="B27" s="557"/>
      <c r="C27" s="33"/>
      <c r="D27" s="33"/>
      <c r="E27" s="33"/>
      <c r="F27" s="51"/>
      <c r="G27" s="51"/>
      <c r="H27" s="51"/>
      <c r="I27" s="33"/>
    </row>
    <row r="28" spans="1:9" x14ac:dyDescent="0.2">
      <c r="A28" s="33"/>
      <c r="B28" s="557"/>
      <c r="C28" s="33"/>
      <c r="D28" s="33"/>
      <c r="E28" s="33"/>
      <c r="F28" s="51"/>
      <c r="G28" s="51"/>
      <c r="H28" s="51"/>
      <c r="I28" s="33"/>
    </row>
    <row r="29" spans="1:9" x14ac:dyDescent="0.2">
      <c r="A29" s="324"/>
      <c r="B29" s="470" t="s">
        <v>207</v>
      </c>
      <c r="C29" s="324"/>
      <c r="D29" s="468">
        <f>IF(C20=0,0,D22/C20)</f>
        <v>0.11399150255497502</v>
      </c>
      <c r="E29" s="324"/>
      <c r="F29" s="324"/>
      <c r="G29" s="324"/>
      <c r="H29" s="324"/>
      <c r="I29" s="324"/>
    </row>
    <row r="30" spans="1:9" x14ac:dyDescent="0.2">
      <c r="A30" s="324"/>
      <c r="B30" s="324"/>
      <c r="C30" s="470" t="s">
        <v>208</v>
      </c>
      <c r="D30" s="324"/>
      <c r="E30" s="468">
        <f>IF(C20=0,0,E23/C20)</f>
        <v>1.5134638571510594E-3</v>
      </c>
      <c r="F30" s="324"/>
      <c r="G30" s="324"/>
      <c r="H30" s="324"/>
      <c r="I30" s="324"/>
    </row>
    <row r="31" spans="1:9" x14ac:dyDescent="0.2">
      <c r="A31" s="324"/>
      <c r="B31" s="324"/>
      <c r="C31" s="324"/>
      <c r="D31" s="470" t="s">
        <v>209</v>
      </c>
      <c r="E31" s="324"/>
      <c r="F31" s="468">
        <f>IF(C20=0,0,F24/C20)</f>
        <v>6.8151805707067803E-4</v>
      </c>
      <c r="G31" s="469"/>
      <c r="H31" s="469"/>
      <c r="I31" s="324"/>
    </row>
    <row r="32" spans="1:9" x14ac:dyDescent="0.2">
      <c r="A32" s="324"/>
      <c r="B32" s="324"/>
      <c r="C32" s="324"/>
      <c r="D32" s="470"/>
      <c r="E32" s="475" t="s">
        <v>210</v>
      </c>
      <c r="F32" s="474"/>
      <c r="G32" s="468">
        <f>IF(C20=0,0,G25/C20)</f>
        <v>7.6855945340759029E-3</v>
      </c>
      <c r="H32" s="469"/>
      <c r="I32" s="324"/>
    </row>
    <row r="33" spans="1:9" x14ac:dyDescent="0.2">
      <c r="A33" s="324"/>
      <c r="B33" s="324"/>
      <c r="C33" s="324"/>
      <c r="D33" s="470"/>
      <c r="E33" s="476"/>
      <c r="F33" s="475" t="s">
        <v>211</v>
      </c>
      <c r="G33" s="469"/>
      <c r="H33" s="468">
        <f>IF(C20=0,0,H26/C20)</f>
        <v>5.408508928058793E-4</v>
      </c>
      <c r="I33" s="324"/>
    </row>
    <row r="34" spans="1:9" x14ac:dyDescent="0.2">
      <c r="A34" s="324"/>
      <c r="B34" s="324"/>
      <c r="C34" s="324"/>
      <c r="D34" s="470"/>
      <c r="E34" s="324"/>
      <c r="F34" s="469"/>
      <c r="G34" s="469"/>
      <c r="H34" s="469"/>
      <c r="I34" s="324"/>
    </row>
    <row r="35" spans="1:9" x14ac:dyDescent="0.2">
      <c r="A35" s="324"/>
      <c r="B35" s="467"/>
      <c r="C35" s="467"/>
      <c r="D35" s="467"/>
      <c r="E35" s="467"/>
      <c r="F35" s="467"/>
      <c r="G35" s="467"/>
      <c r="H35" s="467"/>
      <c r="I35" s="467"/>
    </row>
  </sheetData>
  <sheetProtection sheet="1"/>
  <mergeCells count="2">
    <mergeCell ref="D5:H5"/>
    <mergeCell ref="A3:I3"/>
  </mergeCells>
  <phoneticPr fontId="0" type="noConversion"/>
  <pageMargins left="0.5" right="0.5" top="1" bottom="0.5" header="0.5" footer="0.5"/>
  <pageSetup scale="61" orientation="portrait" blackAndWhite="1" horizontalDpi="120" verticalDpi="144" r:id="rId1"/>
  <headerFooter alignWithMargins="0">
    <oddHeader xml:space="preserve">&amp;RState of Kansas
City
</oddHeader>
    <oddFooter>&amp;CPage No. 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F0"/>
    <pageSetUpPr fitToPage="1"/>
  </sheetPr>
  <dimension ref="A1:F32"/>
  <sheetViews>
    <sheetView workbookViewId="0">
      <selection activeCell="H19" sqref="H19"/>
    </sheetView>
  </sheetViews>
  <sheetFormatPr defaultColWidth="8.88671875" defaultRowHeight="15.75" x14ac:dyDescent="0.2"/>
  <cols>
    <col min="1" max="2" width="17.77734375" style="30" customWidth="1"/>
    <col min="3" max="6" width="12.77734375" style="30" customWidth="1"/>
    <col min="7" max="16384" width="8.88671875" style="30"/>
  </cols>
  <sheetData>
    <row r="1" spans="1:6" x14ac:dyDescent="0.2">
      <c r="A1" s="51" t="str">
        <f>inputPrYr!D3</f>
        <v>City of Concordia</v>
      </c>
      <c r="B1" s="51"/>
      <c r="C1" s="33"/>
      <c r="D1" s="33"/>
      <c r="E1" s="33"/>
      <c r="F1" s="33">
        <f>inputPrYr!$C$6</f>
        <v>2026</v>
      </c>
    </row>
    <row r="2" spans="1:6" x14ac:dyDescent="0.2">
      <c r="A2" s="33"/>
      <c r="B2" s="33"/>
      <c r="C2" s="33"/>
      <c r="D2" s="33"/>
      <c r="E2" s="33"/>
      <c r="F2" s="33"/>
    </row>
    <row r="3" spans="1:6" x14ac:dyDescent="0.2">
      <c r="A3" s="646" t="s">
        <v>174</v>
      </c>
      <c r="B3" s="646"/>
      <c r="C3" s="646"/>
      <c r="D3" s="646"/>
      <c r="E3" s="646"/>
      <c r="F3" s="646"/>
    </row>
    <row r="4" spans="1:6" x14ac:dyDescent="0.2">
      <c r="A4" s="567"/>
      <c r="B4" s="567"/>
      <c r="C4" s="567"/>
      <c r="D4" s="567"/>
      <c r="E4" s="567"/>
      <c r="F4" s="567"/>
    </row>
    <row r="5" spans="1:6" x14ac:dyDescent="0.2">
      <c r="A5" s="223" t="s">
        <v>212</v>
      </c>
      <c r="B5" s="223" t="s">
        <v>213</v>
      </c>
      <c r="C5" s="223" t="s">
        <v>214</v>
      </c>
      <c r="D5" s="223" t="s">
        <v>215</v>
      </c>
      <c r="E5" s="223" t="s">
        <v>216</v>
      </c>
      <c r="F5" s="223" t="s">
        <v>217</v>
      </c>
    </row>
    <row r="6" spans="1:6" x14ac:dyDescent="0.2">
      <c r="A6" s="224" t="s">
        <v>218</v>
      </c>
      <c r="B6" s="224" t="s">
        <v>219</v>
      </c>
      <c r="C6" s="224" t="s">
        <v>220</v>
      </c>
      <c r="D6" s="224" t="s">
        <v>220</v>
      </c>
      <c r="E6" s="224" t="s">
        <v>220</v>
      </c>
      <c r="F6" s="224" t="s">
        <v>221</v>
      </c>
    </row>
    <row r="7" spans="1:6" ht="15" customHeight="1" x14ac:dyDescent="0.2">
      <c r="A7" s="225" t="s">
        <v>222</v>
      </c>
      <c r="B7" s="225" t="s">
        <v>223</v>
      </c>
      <c r="C7" s="151">
        <f>F1-2</f>
        <v>2024</v>
      </c>
      <c r="D7" s="151">
        <f>F1-1</f>
        <v>2025</v>
      </c>
      <c r="E7" s="151">
        <f>F1</f>
        <v>2026</v>
      </c>
      <c r="F7" s="225" t="s">
        <v>224</v>
      </c>
    </row>
    <row r="8" spans="1:6" ht="14.25" customHeight="1" x14ac:dyDescent="0.2">
      <c r="A8" s="226" t="s">
        <v>779</v>
      </c>
      <c r="B8" s="226" t="s">
        <v>765</v>
      </c>
      <c r="C8" s="227">
        <v>450000</v>
      </c>
      <c r="D8" s="227">
        <v>300000</v>
      </c>
      <c r="E8" s="227">
        <v>463000</v>
      </c>
      <c r="F8" s="228" t="s">
        <v>898</v>
      </c>
    </row>
    <row r="9" spans="1:6" ht="15" customHeight="1" x14ac:dyDescent="0.2">
      <c r="A9" s="173" t="s">
        <v>779</v>
      </c>
      <c r="B9" s="173" t="s">
        <v>751</v>
      </c>
      <c r="C9" s="229">
        <v>7000</v>
      </c>
      <c r="D9" s="229">
        <v>7000</v>
      </c>
      <c r="E9" s="229">
        <v>7000</v>
      </c>
      <c r="F9" s="228" t="s">
        <v>899</v>
      </c>
    </row>
    <row r="10" spans="1:6" ht="15" customHeight="1" x14ac:dyDescent="0.2">
      <c r="A10" s="173" t="s">
        <v>779</v>
      </c>
      <c r="B10" s="173" t="s">
        <v>757</v>
      </c>
      <c r="C10" s="229">
        <v>5000</v>
      </c>
      <c r="D10" s="229">
        <v>5000</v>
      </c>
      <c r="E10" s="229">
        <v>5000</v>
      </c>
      <c r="F10" s="228" t="s">
        <v>899</v>
      </c>
    </row>
    <row r="11" spans="1:6" ht="15" customHeight="1" x14ac:dyDescent="0.2">
      <c r="A11" s="173" t="s">
        <v>93</v>
      </c>
      <c r="B11" s="173" t="s">
        <v>758</v>
      </c>
      <c r="C11" s="229">
        <v>365000</v>
      </c>
      <c r="D11" s="229">
        <v>300000</v>
      </c>
      <c r="E11" s="229">
        <v>362000</v>
      </c>
      <c r="F11" s="228" t="s">
        <v>899</v>
      </c>
    </row>
    <row r="12" spans="1:6" ht="15" customHeight="1" x14ac:dyDescent="0.2">
      <c r="A12" s="173" t="s">
        <v>101</v>
      </c>
      <c r="B12" s="173" t="s">
        <v>758</v>
      </c>
      <c r="C12" s="229">
        <v>42000</v>
      </c>
      <c r="D12" s="229">
        <v>42000</v>
      </c>
      <c r="E12" s="229">
        <v>42000</v>
      </c>
      <c r="F12" s="228" t="s">
        <v>899</v>
      </c>
    </row>
    <row r="13" spans="1:6" ht="15" customHeight="1" x14ac:dyDescent="0.2">
      <c r="A13" s="173" t="s">
        <v>780</v>
      </c>
      <c r="B13" s="173" t="s">
        <v>751</v>
      </c>
      <c r="C13" s="229">
        <v>2000</v>
      </c>
      <c r="D13" s="229">
        <v>2000</v>
      </c>
      <c r="E13" s="229">
        <v>2000</v>
      </c>
      <c r="F13" s="228" t="s">
        <v>900</v>
      </c>
    </row>
    <row r="14" spans="1:6" ht="15" customHeight="1" x14ac:dyDescent="0.2">
      <c r="A14" s="173" t="s">
        <v>780</v>
      </c>
      <c r="B14" s="173" t="s">
        <v>757</v>
      </c>
      <c r="C14" s="229">
        <v>5000</v>
      </c>
      <c r="D14" s="229">
        <v>5000</v>
      </c>
      <c r="E14" s="229">
        <v>5000</v>
      </c>
      <c r="F14" s="228" t="s">
        <v>900</v>
      </c>
    </row>
    <row r="15" spans="1:6" ht="15" customHeight="1" x14ac:dyDescent="0.2">
      <c r="A15" s="173" t="s">
        <v>780</v>
      </c>
      <c r="B15" s="173" t="s">
        <v>758</v>
      </c>
      <c r="C15" s="229">
        <v>10000</v>
      </c>
      <c r="D15" s="229">
        <v>10000</v>
      </c>
      <c r="E15" s="229">
        <v>10000</v>
      </c>
      <c r="F15" s="228" t="s">
        <v>900</v>
      </c>
    </row>
    <row r="16" spans="1:6" ht="15" customHeight="1" x14ac:dyDescent="0.2">
      <c r="A16" s="173" t="s">
        <v>780</v>
      </c>
      <c r="B16" s="173" t="s">
        <v>95</v>
      </c>
      <c r="C16" s="229">
        <v>60238</v>
      </c>
      <c r="D16" s="229">
        <v>59050</v>
      </c>
      <c r="E16" s="229">
        <v>57550</v>
      </c>
      <c r="F16" s="228" t="s">
        <v>900</v>
      </c>
    </row>
    <row r="17" spans="1:6" ht="15" customHeight="1" x14ac:dyDescent="0.2">
      <c r="A17" s="173" t="s">
        <v>766</v>
      </c>
      <c r="B17" s="173" t="s">
        <v>781</v>
      </c>
      <c r="C17" s="229">
        <v>3500</v>
      </c>
      <c r="D17" s="229">
        <v>3500</v>
      </c>
      <c r="E17" s="229">
        <v>3500</v>
      </c>
      <c r="F17" s="228" t="s">
        <v>901</v>
      </c>
    </row>
    <row r="18" spans="1:6" ht="15" customHeight="1" x14ac:dyDescent="0.2">
      <c r="A18" s="173" t="s">
        <v>782</v>
      </c>
      <c r="B18" s="173" t="s">
        <v>95</v>
      </c>
      <c r="C18" s="229">
        <v>190463</v>
      </c>
      <c r="D18" s="229">
        <v>191113</v>
      </c>
      <c r="E18" s="229">
        <v>191613</v>
      </c>
      <c r="F18" s="228" t="s">
        <v>900</v>
      </c>
    </row>
    <row r="19" spans="1:6" ht="15" customHeight="1" x14ac:dyDescent="0.2">
      <c r="A19" s="173" t="s">
        <v>782</v>
      </c>
      <c r="B19" s="173" t="s">
        <v>95</v>
      </c>
      <c r="C19" s="229">
        <v>183013</v>
      </c>
      <c r="D19" s="229">
        <v>184863</v>
      </c>
      <c r="E19" s="229">
        <v>181562</v>
      </c>
      <c r="F19" s="228" t="s">
        <v>900</v>
      </c>
    </row>
    <row r="20" spans="1:6" ht="15" customHeight="1" x14ac:dyDescent="0.2">
      <c r="A20" s="173" t="s">
        <v>783</v>
      </c>
      <c r="B20" s="173" t="s">
        <v>765</v>
      </c>
      <c r="C20" s="229">
        <v>0</v>
      </c>
      <c r="D20" s="229">
        <v>41402</v>
      </c>
      <c r="E20" s="229">
        <v>0</v>
      </c>
      <c r="F20" s="228" t="s">
        <v>898</v>
      </c>
    </row>
    <row r="21" spans="1:6" ht="15" customHeight="1" x14ac:dyDescent="0.2">
      <c r="A21" s="173" t="s">
        <v>858</v>
      </c>
      <c r="B21" s="173" t="s">
        <v>95</v>
      </c>
      <c r="C21" s="229">
        <v>0</v>
      </c>
      <c r="D21" s="229">
        <v>0</v>
      </c>
      <c r="E21" s="229">
        <v>3418</v>
      </c>
      <c r="F21" s="228"/>
    </row>
    <row r="22" spans="1:6" ht="15" customHeight="1" x14ac:dyDescent="0.2">
      <c r="A22" s="173"/>
      <c r="B22" s="173"/>
      <c r="C22" s="229"/>
      <c r="D22" s="229"/>
      <c r="E22" s="229"/>
      <c r="F22" s="228"/>
    </row>
    <row r="23" spans="1:6" ht="15" customHeight="1" x14ac:dyDescent="0.2">
      <c r="A23" s="173"/>
      <c r="B23" s="173"/>
      <c r="C23" s="229"/>
      <c r="D23" s="229"/>
      <c r="E23" s="229"/>
      <c r="F23" s="228"/>
    </row>
    <row r="24" spans="1:6" ht="15" customHeight="1" x14ac:dyDescent="0.2">
      <c r="A24" s="173"/>
      <c r="B24" s="173"/>
      <c r="C24" s="229"/>
      <c r="D24" s="229"/>
      <c r="E24" s="229"/>
      <c r="F24" s="228"/>
    </row>
    <row r="25" spans="1:6" ht="15" customHeight="1" x14ac:dyDescent="0.2">
      <c r="A25" s="173"/>
      <c r="B25" s="173"/>
      <c r="C25" s="229"/>
      <c r="D25" s="229"/>
      <c r="E25" s="229"/>
      <c r="F25" s="228"/>
    </row>
    <row r="26" spans="1:6" ht="15" customHeight="1" x14ac:dyDescent="0.2">
      <c r="A26" s="88"/>
      <c r="B26" s="219" t="s">
        <v>178</v>
      </c>
      <c r="C26" s="230">
        <f>SUM(C8:C25)</f>
        <v>1323214</v>
      </c>
      <c r="D26" s="230">
        <f>SUM(D8:D25)</f>
        <v>1150928</v>
      </c>
      <c r="E26" s="230">
        <f>SUM(E8:E25)</f>
        <v>1333643</v>
      </c>
      <c r="F26" s="231"/>
    </row>
    <row r="27" spans="1:6" ht="15" customHeight="1" x14ac:dyDescent="0.2">
      <c r="A27" s="88"/>
      <c r="B27" s="232" t="s">
        <v>225</v>
      </c>
      <c r="C27" s="568"/>
      <c r="D27" s="233">
        <v>379476</v>
      </c>
      <c r="E27" s="589">
        <f>SUM(E17:E19)</f>
        <v>376675</v>
      </c>
      <c r="F27" s="231"/>
    </row>
    <row r="28" spans="1:6" ht="15" customHeight="1" x14ac:dyDescent="0.2">
      <c r="A28" s="88"/>
      <c r="B28" s="219" t="s">
        <v>226</v>
      </c>
      <c r="C28" s="230">
        <f>C26</f>
        <v>1323214</v>
      </c>
      <c r="D28" s="230">
        <f>SUM(D26-D27)</f>
        <v>771452</v>
      </c>
      <c r="E28" s="230">
        <f>SUM(E26-E27)</f>
        <v>956968</v>
      </c>
      <c r="F28" s="231"/>
    </row>
    <row r="29" spans="1:6" ht="15" customHeight="1" x14ac:dyDescent="0.2">
      <c r="A29" s="88"/>
      <c r="B29" s="88"/>
      <c r="C29" s="88"/>
      <c r="D29" s="88"/>
      <c r="E29" s="88"/>
      <c r="F29" s="88"/>
    </row>
    <row r="30" spans="1:6" ht="15" customHeight="1" x14ac:dyDescent="0.2">
      <c r="A30" s="88"/>
      <c r="B30" s="88"/>
      <c r="C30" s="88"/>
      <c r="D30" s="88"/>
      <c r="E30" s="88"/>
      <c r="F30" s="88"/>
    </row>
    <row r="31" spans="1:6" ht="15" customHeight="1" x14ac:dyDescent="0.2">
      <c r="A31" s="252" t="s">
        <v>227</v>
      </c>
      <c r="B31" s="253" t="str">
        <f>CONCATENATE("Adjustments are required only if the transfer is being made in ",D7," and/or ",E7," from a non-budgeted fund.")</f>
        <v>Adjustments are required only if the transfer is being made in 2025 and/or 2026 from a non-budgeted fund.</v>
      </c>
      <c r="C31" s="88"/>
      <c r="D31" s="88"/>
      <c r="E31" s="88"/>
      <c r="F31" s="88"/>
    </row>
    <row r="32" spans="1:6" ht="15" customHeight="1" x14ac:dyDescent="0.2"/>
  </sheetData>
  <sheetProtection sheet="1"/>
  <mergeCells count="1">
    <mergeCell ref="A3:F3"/>
  </mergeCells>
  <phoneticPr fontId="9" type="noConversion"/>
  <pageMargins left="0.75" right="0.75" top="1" bottom="1" header="0.5" footer="0.5"/>
  <pageSetup orientation="landscape" blackAndWhite="1" r:id="rId1"/>
  <headerFooter alignWithMargins="0">
    <oddHeader>&amp;RState of Kansas
City</oddHeader>
    <oddFooter xml:space="preserve">&amp;CPage No. 3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C9DC4551578746BB2D5CB3C7D70B0F" ma:contentTypeVersion="9" ma:contentTypeDescription="Create a new document." ma:contentTypeScope="" ma:versionID="e7fe1cf8449dd3f7a19afea7d63c3dac">
  <xsd:schema xmlns:xsd="http://www.w3.org/2001/XMLSchema" xmlns:xs="http://www.w3.org/2001/XMLSchema" xmlns:p="http://schemas.microsoft.com/office/2006/metadata/properties" xmlns:ns2="1895758b-fcac-4748-aa0a-5720d2d7d486" xmlns:ns3="7e2d0d8f-ac74-4d4c-8884-aff3748a733a" xmlns:ns4="a9343af4-2466-41a9-9238-9dddcc3e6066" targetNamespace="http://schemas.microsoft.com/office/2006/metadata/properties" ma:root="true" ma:fieldsID="97bc813d7a6bf988cbea9a149a214d39" ns2:_="" ns3:_="" ns4:_="">
    <xsd:import namespace="1895758b-fcac-4748-aa0a-5720d2d7d486"/>
    <xsd:import namespace="7e2d0d8f-ac74-4d4c-8884-aff3748a733a"/>
    <xsd:import namespace="a9343af4-2466-41a9-9238-9dddcc3e606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5758b-fcac-4748-aa0a-5720d2d7d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2d0d8f-ac74-4d4c-8884-aff3748a733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343af4-2466-41a9-9238-9dddcc3e6066" elementFormDefault="qualified">
    <xsd:import namespace="http://schemas.microsoft.com/office/2006/documentManagement/types"/>
    <xsd:import namespace="http://schemas.microsoft.com/office/infopath/2007/PartnerControls"/>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EF4FC-0A60-4016-8B1A-205A36BBB5BA}">
  <ds:schemaRefs>
    <ds:schemaRef ds:uri="7e2d0d8f-ac74-4d4c-8884-aff3748a733a"/>
    <ds:schemaRef ds:uri="http://purl.org/dc/terms/"/>
    <ds:schemaRef ds:uri="http://schemas.openxmlformats.org/package/2006/metadata/core-properties"/>
    <ds:schemaRef ds:uri="a9343af4-2466-41a9-9238-9dddcc3e6066"/>
    <ds:schemaRef ds:uri="http://schemas.microsoft.com/office/2006/documentManagement/types"/>
    <ds:schemaRef ds:uri="http://purl.org/dc/elements/1.1/"/>
    <ds:schemaRef ds:uri="http://schemas.microsoft.com/office/infopath/2007/PartnerControls"/>
    <ds:schemaRef ds:uri="http://schemas.microsoft.com/office/2006/metadata/properties"/>
    <ds:schemaRef ds:uri="1895758b-fcac-4748-aa0a-5720d2d7d486"/>
    <ds:schemaRef ds:uri="http://www.w3.org/XML/1998/namespace"/>
    <ds:schemaRef ds:uri="http://purl.org/dc/dcmitype/"/>
  </ds:schemaRefs>
</ds:datastoreItem>
</file>

<file path=customXml/itemProps2.xml><?xml version="1.0" encoding="utf-8"?>
<ds:datastoreItem xmlns:ds="http://schemas.openxmlformats.org/officeDocument/2006/customXml" ds:itemID="{17945EC4-C62F-4107-85FE-152356A0E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5758b-fcac-4748-aa0a-5720d2d7d486"/>
    <ds:schemaRef ds:uri="7e2d0d8f-ac74-4d4c-8884-aff3748a733a"/>
    <ds:schemaRef ds:uri="a9343af4-2466-41a9-9238-9dddcc3e60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770B52-D5DE-484A-9B51-9E5C349E09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9</vt:i4>
      </vt:variant>
    </vt:vector>
  </HeadingPairs>
  <TitlesOfParts>
    <vt:vector size="41" baseType="lpstr">
      <vt:lpstr>Instructions</vt:lpstr>
      <vt:lpstr>inputPrYr</vt:lpstr>
      <vt:lpstr>inputOth</vt:lpstr>
      <vt:lpstr>inputHearing</vt:lpstr>
      <vt:lpstr>CPA Summary </vt:lpstr>
      <vt:lpstr>Cert</vt:lpstr>
      <vt:lpstr>Signed Cert</vt:lpstr>
      <vt:lpstr>Mvalloc</vt:lpstr>
      <vt:lpstr>Transfers</vt:lpstr>
      <vt:lpstr>Debt</vt:lpstr>
      <vt:lpstr>LP Form</vt:lpstr>
      <vt:lpstr>Library Grant</vt:lpstr>
      <vt:lpstr>General</vt:lpstr>
      <vt:lpstr>General Detail</vt:lpstr>
      <vt:lpstr>DebtSvs-Library</vt:lpstr>
      <vt:lpstr>Lib Ben-Ec Dev</vt:lpstr>
      <vt:lpstr>Spec Hwy-RHID</vt:lpstr>
      <vt:lpstr>Spec Parks-911 PSAP</vt:lpstr>
      <vt:lpstr>WATER</vt:lpstr>
      <vt:lpstr>Gas</vt:lpstr>
      <vt:lpstr>NonBudA</vt:lpstr>
      <vt:lpstr>NonBudB</vt:lpstr>
      <vt:lpstr>NonBudC</vt:lpstr>
      <vt:lpstr>NonBudD</vt:lpstr>
      <vt:lpstr>Combined Rate-Bud Hearing Notic</vt:lpstr>
      <vt:lpstr>Roll Call to Exceed RNR Templat</vt:lpstr>
      <vt:lpstr>Proof of Publication</vt:lpstr>
      <vt:lpstr>Certificate</vt:lpstr>
      <vt:lpstr>Roll Call to Exceed RNR</vt:lpstr>
      <vt:lpstr>Resolution to Exceed RNR</vt:lpstr>
      <vt:lpstr>Budget Tools</vt:lpstr>
      <vt:lpstr>Legend</vt:lpstr>
      <vt:lpstr>'Combined Rate-Bud Hearing Notic'!Print_Area</vt:lpstr>
      <vt:lpstr>Debt!Print_Area</vt:lpstr>
      <vt:lpstr>'DebtSvs-Library'!Print_Area</vt:lpstr>
      <vt:lpstr>General!Print_Area</vt:lpstr>
      <vt:lpstr>'General Detail'!Print_Area</vt:lpstr>
      <vt:lpstr>inputPrYr!Print_Area</vt:lpstr>
      <vt:lpstr>'Lib Ben-Ec Dev'!Print_Area</vt:lpstr>
      <vt:lpstr>'Library Grant'!Print_Area</vt:lpstr>
      <vt:lpstr>'LP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Budget Form - Short</dc:title>
  <dc:subject/>
  <dc:creator>Barbara Butts</dc:creator>
  <cp:keywords/>
  <dc:description/>
  <cp:lastModifiedBy>Amanda Hacker</cp:lastModifiedBy>
  <cp:revision/>
  <cp:lastPrinted>2025-09-04T14:34:41Z</cp:lastPrinted>
  <dcterms:created xsi:type="dcterms:W3CDTF">1999-08-03T13:11:47Z</dcterms:created>
  <dcterms:modified xsi:type="dcterms:W3CDTF">2025-11-17T21:27:39Z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0x010100DAC9DC4551578746BB2D5CB3C7D70B0F</vt:lpwstr>
  </property>
</Properties>
</file>