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P:\2026 County Information\Taxing Entities &amp; Budget Info\Cities\City of Colby\"/>
    </mc:Choice>
  </mc:AlternateContent>
  <xr:revisionPtr revIDLastSave="0" documentId="13_ncr:1_{50E8C6B4-75FC-4D92-8FA2-003D2534D761}" xr6:coauthVersionLast="47" xr6:coauthVersionMax="47" xr10:uidLastSave="{00000000-0000-0000-0000-000000000000}"/>
  <bookViews>
    <workbookView xWindow="-110" yWindow="-110" windowWidth="38620" windowHeight="21100" tabRatio="909" firstSheet="39" activeTab="46" xr2:uid="{00000000-000D-0000-FFFF-FFFF00000000}"/>
  </bookViews>
  <sheets>
    <sheet name="Instructions" sheetId="64" r:id="rId1"/>
    <sheet name="inputPrYr" sheetId="2" r:id="rId2"/>
    <sheet name="inputOth" sheetId="43" r:id="rId3"/>
    <sheet name="inputHearing" sheetId="67" r:id="rId4"/>
    <sheet name="CPA Summary" sheetId="63" r:id="rId5"/>
    <sheet name="Cert" sheetId="3" r:id="rId6"/>
    <sheet name="Signed Cert" sheetId="83" r:id="rId7"/>
    <sheet name="Mvalloc" sheetId="5" r:id="rId8"/>
    <sheet name="Transfers" sheetId="32" r:id="rId9"/>
    <sheet name="Transfer Statutes" sheetId="45" r:id="rId10"/>
    <sheet name="Debt" sheetId="22" r:id="rId11"/>
    <sheet name="LP Form" sheetId="23" r:id="rId12"/>
    <sheet name="Library Grant" sheetId="57" r:id="rId13"/>
    <sheet name="General7a" sheetId="7" r:id="rId14"/>
    <sheet name="General Detail7b" sheetId="9" r:id="rId15"/>
    <sheet name="DebtSvs-Library8" sheetId="34" r:id="rId16"/>
    <sheet name="Rec-NoxWds9" sheetId="8" r:id="rId17"/>
    <sheet name="SpFire-SpLiab10" sheetId="10" r:id="rId18"/>
    <sheet name="EmBene-EcoDevo11" sheetId="11" r:id="rId19"/>
    <sheet name="NU Levy" sheetId="12" r:id="rId20"/>
    <sheet name="NU Lvy" sheetId="13" r:id="rId21"/>
    <sheet name="SpHwy_Elec12" sheetId="14" r:id="rId22"/>
    <sheet name="Watr_Sewr13" sheetId="15" r:id="rId23"/>
    <sheet name="Trash_CVB14" sheetId="16" r:id="rId24"/>
    <sheet name="SpLET_SpParks15" sheetId="17" r:id="rId25"/>
    <sheet name="E911_Land Bank16" sheetId="18" r:id="rId26"/>
    <sheet name="NUNo Levy Pg" sheetId="19" r:id="rId27"/>
    <sheet name="NUNo Levy Pag" sheetId="53" r:id="rId28"/>
    <sheet name="NUNo Levy Page" sheetId="54" r:id="rId29"/>
    <sheet name="NUSingle No Levy" sheetId="35" r:id="rId30"/>
    <sheet name="NUSingle NoLevy" sheetId="36" r:id="rId31"/>
    <sheet name="NUSingle NoLvy" sheetId="37" r:id="rId32"/>
    <sheet name="NUSingle NLevy" sheetId="38" r:id="rId33"/>
    <sheet name="CIRF_MERF_FP_GWTP_GP17" sheetId="39" r:id="rId34"/>
    <sheet name="RiskMgmt18" sheetId="40" r:id="rId35"/>
    <sheet name="NUNon-Budgeted Funds C" sheetId="41" r:id="rId36"/>
    <sheet name="NUNon-Budgeted Funds D" sheetId="42" r:id="rId37"/>
    <sheet name="Non-Bud Fund Statutes" sheetId="46" r:id="rId38"/>
    <sheet name="Budget Hearing Notice" sheetId="21" r:id="rId39"/>
    <sheet name="Notice of Pub" sheetId="82" r:id="rId40"/>
    <sheet name="CombRate-Bud Hearing Notice19" sheetId="70" r:id="rId41"/>
    <sheet name="Affidavit of Publication" sheetId="81" r:id="rId42"/>
    <sheet name="Published Combined Notice" sheetId="80" r:id="rId43"/>
    <sheet name="NURNR Hearing Notice" sheetId="71" r:id="rId44"/>
    <sheet name="NR Rebate20" sheetId="44" r:id="rId45"/>
    <sheet name="Actual Notice to CoClerk21" sheetId="69" r:id="rId46"/>
    <sheet name="Actual Roll Call to Exceed RNR" sheetId="79" r:id="rId47"/>
    <sheet name="Resolution 1229 to Exceed RNR" sheetId="68" r:id="rId48"/>
    <sheet name="Tab A" sheetId="72" r:id="rId49"/>
    <sheet name="Tab B" sheetId="73" r:id="rId50"/>
    <sheet name="Tab C" sheetId="74" r:id="rId51"/>
    <sheet name="Tab D" sheetId="75" r:id="rId52"/>
    <sheet name="Tab E" sheetId="76" r:id="rId53"/>
    <sheet name="Budget Tools" sheetId="77" r:id="rId54"/>
    <sheet name="Legend" sheetId="78" r:id="rId55"/>
  </sheets>
  <definedNames>
    <definedName name="_xlnm.Print_Area" localSheetId="38">'Budget Hearing Notice'!$A$1:$N$72</definedName>
    <definedName name="_xlnm.Print_Area" localSheetId="40">'CombRate-Bud Hearing Notice19'!$A$1:$M$72</definedName>
    <definedName name="_xlnm.Print_Area" localSheetId="15">'DebtSvs-Library8'!$B$1:$E$87</definedName>
    <definedName name="_xlnm.Print_Area" localSheetId="18">'EmBene-EcoDevo11'!$A$1:$E$92</definedName>
    <definedName name="_xlnm.Print_Area" localSheetId="13">General7a!$B$1:$E$115</definedName>
    <definedName name="_xlnm.Print_Area" localSheetId="1">inputPrYr!$A$1:$E$126</definedName>
    <definedName name="_xlnm.Print_Area" localSheetId="12">'Library Grant'!$A$1:$J$40</definedName>
    <definedName name="_xlnm.Print_Area" localSheetId="11">'LP Form'!$B$1:$I$38</definedName>
    <definedName name="_xlnm.Print_Area" localSheetId="7">Mvalloc!$A$1:$I$35</definedName>
    <definedName name="_xlnm.Print_Area" localSheetId="19">'NU Levy'!$A$1:$E$86</definedName>
    <definedName name="_xlnm.Print_Area" localSheetId="20">'NU Lvy'!$A$1:$E$86</definedName>
    <definedName name="_xlnm.Print_Area" localSheetId="43">'NURNR Hearing Notice'!$A$1:$H$17</definedName>
    <definedName name="_xlnm.Print_Area" localSheetId="16">'Rec-NoxWds9'!$A$1:$E$86</definedName>
    <definedName name="_xlnm.Print_Area" localSheetId="17">'SpFire-SpLiab10'!$B$1:$E$85</definedName>
    <definedName name="_xlnm.Print_Area" localSheetId="8">Transfers!$B$1:$G$44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6" i="3" l="1"/>
  <c r="F40" i="32" l="1"/>
  <c r="E40" i="32"/>
  <c r="F39" i="32" l="1"/>
  <c r="B54" i="70"/>
  <c r="M38" i="70"/>
  <c r="M34" i="21"/>
  <c r="N62" i="21"/>
  <c r="B54" i="21" l="1"/>
  <c r="D7" i="39" l="1"/>
  <c r="B7" i="39"/>
  <c r="B18" i="39"/>
  <c r="K11" i="32" l="1"/>
  <c r="D29" i="16"/>
  <c r="E29" i="16"/>
  <c r="C29" i="16"/>
  <c r="D22" i="32"/>
  <c r="D19" i="32"/>
  <c r="D16" i="32"/>
  <c r="E64" i="10" l="1"/>
  <c r="E63" i="10"/>
  <c r="F28" i="32"/>
  <c r="E59" i="11"/>
  <c r="D32" i="11"/>
  <c r="C32" i="11"/>
  <c r="D39" i="11"/>
  <c r="E39" i="11"/>
  <c r="C39" i="11"/>
  <c r="E32" i="11"/>
  <c r="E11" i="11" l="1"/>
  <c r="K35" i="32" l="1"/>
  <c r="J35" i="32"/>
  <c r="I35" i="32"/>
  <c r="D26" i="32" l="1"/>
  <c r="D73" i="8"/>
  <c r="G93" i="7"/>
  <c r="D15" i="32"/>
  <c r="E15" i="32"/>
  <c r="C82" i="7"/>
  <c r="D82" i="7"/>
  <c r="E82" i="7"/>
  <c r="E81" i="7"/>
  <c r="D81" i="7"/>
  <c r="C81" i="7"/>
  <c r="C28" i="7"/>
  <c r="I47" i="7"/>
  <c r="H47" i="7"/>
  <c r="G47" i="7"/>
  <c r="J11" i="32"/>
  <c r="I11" i="32"/>
  <c r="E28" i="32"/>
  <c r="C7" i="7"/>
  <c r="G10" i="23"/>
  <c r="G34" i="22"/>
  <c r="G10" i="22"/>
  <c r="G9" i="22"/>
  <c r="E43" i="43"/>
  <c r="B97" i="43" l="1"/>
  <c r="J43" i="43"/>
  <c r="J44" i="43"/>
  <c r="J45" i="43"/>
  <c r="J42" i="43"/>
  <c r="I42" i="43"/>
  <c r="A17" i="3" l="1"/>
  <c r="A5" i="72"/>
  <c r="A7" i="76"/>
  <c r="A56" i="72"/>
  <c r="A26" i="74"/>
  <c r="A6" i="76"/>
  <c r="A5" i="73"/>
  <c r="A6" i="74"/>
  <c r="A5" i="75"/>
  <c r="A59" i="72"/>
  <c r="A31" i="75"/>
  <c r="A14" i="72"/>
  <c r="A23" i="72"/>
  <c r="A15" i="74"/>
  <c r="A28" i="73"/>
  <c r="A58" i="72"/>
  <c r="A7" i="74"/>
  <c r="A20" i="72"/>
  <c r="A30" i="74"/>
  <c r="A35" i="75"/>
  <c r="A27" i="72"/>
  <c r="A29" i="73"/>
  <c r="A6" i="72"/>
  <c r="F22" i="3" l="1"/>
  <c r="F23" i="3"/>
  <c r="F24" i="3"/>
  <c r="F25" i="3"/>
  <c r="F26" i="3"/>
  <c r="F27" i="3"/>
  <c r="F28" i="3"/>
  <c r="F29" i="3"/>
  <c r="F30" i="3"/>
  <c r="F31" i="3"/>
  <c r="F21" i="3"/>
  <c r="F20" i="3"/>
  <c r="F19" i="3"/>
  <c r="F56" i="3" l="1"/>
  <c r="C43" i="3"/>
  <c r="C37" i="3"/>
  <c r="C36" i="3"/>
  <c r="C35" i="3"/>
  <c r="F63" i="3" l="1"/>
  <c r="B70" i="70"/>
  <c r="A69" i="70"/>
  <c r="C60" i="3"/>
  <c r="C59" i="3"/>
  <c r="C58" i="3"/>
  <c r="C57" i="3"/>
  <c r="A10" i="71"/>
  <c r="A6" i="71"/>
  <c r="A5" i="71"/>
  <c r="A7" i="70"/>
  <c r="A5" i="70"/>
  <c r="D64" i="70"/>
  <c r="B64" i="70"/>
  <c r="D63" i="70"/>
  <c r="B63" i="70"/>
  <c r="D62" i="70"/>
  <c r="B62" i="70"/>
  <c r="D61" i="70"/>
  <c r="B61" i="70"/>
  <c r="F58" i="70"/>
  <c r="M62" i="70" s="1"/>
  <c r="D58" i="70"/>
  <c r="B58" i="70"/>
  <c r="B56" i="70"/>
  <c r="H53" i="70"/>
  <c r="A51" i="70"/>
  <c r="A50" i="70"/>
  <c r="A49" i="70"/>
  <c r="A48" i="70"/>
  <c r="A47" i="70"/>
  <c r="A46" i="70"/>
  <c r="A45" i="70"/>
  <c r="A44" i="70"/>
  <c r="A43" i="70"/>
  <c r="A42" i="70"/>
  <c r="A41" i="70"/>
  <c r="A40" i="70"/>
  <c r="A39" i="70"/>
  <c r="A38" i="70"/>
  <c r="A37" i="70"/>
  <c r="A36" i="70"/>
  <c r="A35" i="70"/>
  <c r="A34" i="70"/>
  <c r="A33" i="70"/>
  <c r="A32" i="70"/>
  <c r="A31" i="70"/>
  <c r="A30" i="70"/>
  <c r="A29" i="70"/>
  <c r="A28" i="70"/>
  <c r="E27" i="70"/>
  <c r="C27" i="70"/>
  <c r="A27" i="70"/>
  <c r="E26" i="70"/>
  <c r="C26" i="70"/>
  <c r="A26" i="70"/>
  <c r="E25" i="70"/>
  <c r="C25" i="70"/>
  <c r="A25" i="70"/>
  <c r="E24" i="70"/>
  <c r="C24" i="70"/>
  <c r="A24" i="70"/>
  <c r="E23" i="70"/>
  <c r="C23" i="70"/>
  <c r="A23" i="70"/>
  <c r="E22" i="70"/>
  <c r="C22" i="70"/>
  <c r="A22" i="70"/>
  <c r="E21" i="70"/>
  <c r="C21" i="70"/>
  <c r="A21" i="70"/>
  <c r="E20" i="70"/>
  <c r="C20" i="70"/>
  <c r="A20" i="70"/>
  <c r="E19" i="70"/>
  <c r="C19" i="70"/>
  <c r="A19" i="70"/>
  <c r="E18" i="70"/>
  <c r="C18" i="70"/>
  <c r="A18" i="70"/>
  <c r="E17" i="70"/>
  <c r="C17" i="70"/>
  <c r="A17" i="70"/>
  <c r="E16" i="70"/>
  <c r="C16" i="70"/>
  <c r="A16" i="70"/>
  <c r="E15" i="70"/>
  <c r="C15" i="70"/>
  <c r="A15" i="70"/>
  <c r="A4" i="70"/>
  <c r="H2" i="70"/>
  <c r="J55" i="34"/>
  <c r="J56" i="34"/>
  <c r="J57" i="34"/>
  <c r="G100" i="7"/>
  <c r="G31" i="34"/>
  <c r="G73" i="34"/>
  <c r="G30" i="8"/>
  <c r="G72" i="8"/>
  <c r="G30" i="10"/>
  <c r="G72" i="10"/>
  <c r="G35" i="11"/>
  <c r="G77" i="11"/>
  <c r="G31" i="12"/>
  <c r="G70" i="12"/>
  <c r="G30" i="13"/>
  <c r="G69" i="13"/>
  <c r="M43" i="70" l="1"/>
  <c r="J62" i="70"/>
  <c r="H1" i="71"/>
  <c r="B65" i="70"/>
  <c r="C52" i="70"/>
  <c r="E52" i="70"/>
  <c r="M47" i="70" s="1"/>
  <c r="M55" i="70" s="1"/>
  <c r="D65" i="70"/>
  <c r="J41" i="70"/>
  <c r="J52" i="70"/>
  <c r="J45" i="70"/>
  <c r="J47" i="70"/>
  <c r="J55" i="70"/>
  <c r="B60" i="70"/>
  <c r="J61" i="70"/>
  <c r="A9" i="70"/>
  <c r="B12" i="70"/>
  <c r="D60" i="70"/>
  <c r="J63" i="70"/>
  <c r="D12" i="70"/>
  <c r="F60" i="70"/>
  <c r="F12" i="70"/>
  <c r="J54" i="70"/>
  <c r="J60" i="70"/>
  <c r="G13" i="70"/>
  <c r="J48" i="70"/>
  <c r="B70" i="21"/>
  <c r="A69" i="21"/>
  <c r="A7" i="21"/>
  <c r="A5" i="21"/>
  <c r="G9" i="23"/>
  <c r="C55" i="7"/>
  <c r="B67" i="9" s="1"/>
  <c r="H53" i="21"/>
  <c r="A37" i="3"/>
  <c r="A36" i="3"/>
  <c r="A35" i="3"/>
  <c r="A43" i="3"/>
  <c r="E18" i="44"/>
  <c r="E58" i="13" s="1"/>
  <c r="E17" i="44"/>
  <c r="E18" i="13" s="1"/>
  <c r="E16" i="44"/>
  <c r="E57" i="12" s="1"/>
  <c r="E15" i="44"/>
  <c r="E18" i="12" s="1"/>
  <c r="E13" i="44"/>
  <c r="E22" i="11" s="1"/>
  <c r="E12" i="44"/>
  <c r="E57" i="10" s="1"/>
  <c r="E10" i="44"/>
  <c r="E58" i="8" s="1"/>
  <c r="E7" i="44"/>
  <c r="E19" i="34" s="1"/>
  <c r="E6" i="44"/>
  <c r="E49" i="7" s="1"/>
  <c r="H26" i="5"/>
  <c r="G25" i="5"/>
  <c r="D48" i="34"/>
  <c r="E15" i="57" s="1"/>
  <c r="E19" i="57"/>
  <c r="E18" i="57"/>
  <c r="E17" i="57"/>
  <c r="G16" i="57"/>
  <c r="E16" i="57"/>
  <c r="D56" i="2"/>
  <c r="J14" i="13"/>
  <c r="J13" i="13"/>
  <c r="J15" i="12"/>
  <c r="J14" i="12"/>
  <c r="J12" i="11"/>
  <c r="J14" i="10"/>
  <c r="J13" i="10"/>
  <c r="J13" i="8"/>
  <c r="J12" i="8"/>
  <c r="J14" i="34"/>
  <c r="J13" i="34"/>
  <c r="J12" i="13"/>
  <c r="J51" i="13"/>
  <c r="J13" i="12"/>
  <c r="J52" i="12"/>
  <c r="J11" i="11"/>
  <c r="J59" i="11"/>
  <c r="J12" i="10"/>
  <c r="J54" i="10"/>
  <c r="J11" i="8"/>
  <c r="J54" i="8"/>
  <c r="J12" i="34"/>
  <c r="J86" i="7"/>
  <c r="C17" i="3"/>
  <c r="J88" i="7"/>
  <c r="B8" i="57"/>
  <c r="B7" i="57"/>
  <c r="B5" i="57"/>
  <c r="B18" i="44"/>
  <c r="B17" i="44"/>
  <c r="B16" i="44"/>
  <c r="B15" i="44"/>
  <c r="B14" i="44"/>
  <c r="B13" i="44"/>
  <c r="B12" i="44"/>
  <c r="B11" i="44"/>
  <c r="B10" i="44"/>
  <c r="B9" i="44"/>
  <c r="B8" i="44"/>
  <c r="D72" i="9"/>
  <c r="C72" i="9"/>
  <c r="B72" i="9"/>
  <c r="D35" i="13"/>
  <c r="D98" i="13" s="1"/>
  <c r="D74" i="12"/>
  <c r="D99" i="12" s="1"/>
  <c r="D35" i="12"/>
  <c r="D97" i="12" s="1"/>
  <c r="D79" i="11"/>
  <c r="D104" i="11" s="1"/>
  <c r="D41" i="11"/>
  <c r="D102" i="11" s="1"/>
  <c r="D74" i="10"/>
  <c r="D99" i="10" s="1"/>
  <c r="D35" i="10"/>
  <c r="D97" i="10" s="1"/>
  <c r="D75" i="8"/>
  <c r="D101" i="8" s="1"/>
  <c r="D35" i="8"/>
  <c r="D99" i="8" s="1"/>
  <c r="C47" i="3"/>
  <c r="C46" i="3"/>
  <c r="C45" i="3"/>
  <c r="C44" i="3"/>
  <c r="A46" i="3"/>
  <c r="A45" i="3"/>
  <c r="A44" i="3"/>
  <c r="D76" i="34"/>
  <c r="B44" i="13"/>
  <c r="B5" i="13"/>
  <c r="B44" i="12"/>
  <c r="B5" i="12"/>
  <c r="B50" i="11"/>
  <c r="B5" i="11"/>
  <c r="B44" i="10"/>
  <c r="B5" i="10"/>
  <c r="B44" i="8"/>
  <c r="B5" i="8"/>
  <c r="B45" i="34"/>
  <c r="D75" i="13"/>
  <c r="D100" i="13" s="1"/>
  <c r="G14" i="57"/>
  <c r="E14" i="57"/>
  <c r="B45" i="57" s="1"/>
  <c r="B31" i="3"/>
  <c r="B30" i="3"/>
  <c r="B29" i="3"/>
  <c r="B28" i="3"/>
  <c r="B27" i="3"/>
  <c r="B26" i="3"/>
  <c r="B25" i="3"/>
  <c r="B24" i="3"/>
  <c r="B23" i="3"/>
  <c r="B22" i="3"/>
  <c r="B21" i="3"/>
  <c r="A31" i="3"/>
  <c r="A30" i="3"/>
  <c r="A29" i="3"/>
  <c r="A28" i="3"/>
  <c r="A27" i="3"/>
  <c r="A26" i="3"/>
  <c r="A25" i="3"/>
  <c r="A24" i="3"/>
  <c r="A23" i="3"/>
  <c r="A22" i="3"/>
  <c r="A21" i="3"/>
  <c r="C19" i="5"/>
  <c r="C18" i="5"/>
  <c r="C17" i="5"/>
  <c r="C16" i="5"/>
  <c r="C15" i="5"/>
  <c r="C14" i="5"/>
  <c r="C13" i="5"/>
  <c r="C12" i="5"/>
  <c r="C11" i="5"/>
  <c r="C10" i="5"/>
  <c r="C9" i="5"/>
  <c r="B19" i="5"/>
  <c r="B18" i="5"/>
  <c r="B17" i="5"/>
  <c r="B16" i="5"/>
  <c r="B15" i="5"/>
  <c r="B14" i="5"/>
  <c r="B13" i="5"/>
  <c r="B12" i="5"/>
  <c r="B11" i="5"/>
  <c r="B10" i="5"/>
  <c r="B9" i="5"/>
  <c r="A27" i="21"/>
  <c r="A26" i="21"/>
  <c r="A25" i="21"/>
  <c r="A24" i="21"/>
  <c r="A23" i="21"/>
  <c r="A22" i="21"/>
  <c r="A21" i="21"/>
  <c r="A20" i="21"/>
  <c r="A19" i="21"/>
  <c r="A18" i="21"/>
  <c r="A17" i="21"/>
  <c r="A75" i="43"/>
  <c r="A74" i="43"/>
  <c r="A73" i="43"/>
  <c r="A72" i="43"/>
  <c r="A71" i="43"/>
  <c r="A70" i="43"/>
  <c r="A69" i="43"/>
  <c r="A68" i="43"/>
  <c r="A67" i="43"/>
  <c r="A66" i="43"/>
  <c r="A65" i="43"/>
  <c r="A36" i="43"/>
  <c r="A35" i="43"/>
  <c r="A34" i="43"/>
  <c r="A33" i="43"/>
  <c r="A32" i="43"/>
  <c r="A31" i="43"/>
  <c r="A30" i="43"/>
  <c r="A29" i="43"/>
  <c r="A28" i="43"/>
  <c r="A27" i="43"/>
  <c r="A26" i="43"/>
  <c r="B97" i="2"/>
  <c r="B96" i="2"/>
  <c r="B95" i="2"/>
  <c r="B94" i="2"/>
  <c r="B93" i="2"/>
  <c r="B92" i="2"/>
  <c r="B91" i="2"/>
  <c r="B90" i="2"/>
  <c r="B89" i="2"/>
  <c r="B88" i="2"/>
  <c r="B87" i="2"/>
  <c r="G35" i="2"/>
  <c r="D47" i="13"/>
  <c r="D61" i="13" s="1"/>
  <c r="D60" i="13" s="1"/>
  <c r="G34" i="2"/>
  <c r="D8" i="13"/>
  <c r="D21" i="13" s="1"/>
  <c r="D20" i="13" s="1"/>
  <c r="G33" i="2"/>
  <c r="D47" i="12" s="1"/>
  <c r="D60" i="12" s="1"/>
  <c r="D59" i="12" s="1"/>
  <c r="G32" i="2"/>
  <c r="D8" i="12"/>
  <c r="D21" i="12" s="1"/>
  <c r="G31" i="2"/>
  <c r="D53" i="11" s="1"/>
  <c r="D65" i="11" s="1"/>
  <c r="D64" i="11" s="1"/>
  <c r="G30" i="2"/>
  <c r="D8" i="11"/>
  <c r="D25" i="11" s="1"/>
  <c r="D24" i="11" s="1"/>
  <c r="G29" i="2"/>
  <c r="D47" i="10"/>
  <c r="D60" i="10" s="1"/>
  <c r="D59" i="10" s="1"/>
  <c r="G28" i="2"/>
  <c r="D8" i="10"/>
  <c r="D21" i="10" s="1"/>
  <c r="D20" i="10" s="1"/>
  <c r="G27" i="2"/>
  <c r="D47" i="8"/>
  <c r="D61" i="8" s="1"/>
  <c r="D60" i="8" s="1"/>
  <c r="G26" i="2"/>
  <c r="D8" i="8"/>
  <c r="D20" i="8" s="1"/>
  <c r="D19" i="8" s="1"/>
  <c r="G24" i="2"/>
  <c r="G23" i="2"/>
  <c r="D8" i="34"/>
  <c r="D22" i="34" s="1"/>
  <c r="D21" i="34" s="1"/>
  <c r="G22" i="2"/>
  <c r="D9" i="7"/>
  <c r="D52" i="7" s="1"/>
  <c r="D51" i="7" s="1"/>
  <c r="D28" i="54"/>
  <c r="D57" i="53"/>
  <c r="D28" i="53"/>
  <c r="D57" i="19"/>
  <c r="C57" i="54"/>
  <c r="C58" i="54" s="1"/>
  <c r="C28" i="54"/>
  <c r="C57" i="53"/>
  <c r="C28" i="53"/>
  <c r="C57" i="19"/>
  <c r="B5" i="54"/>
  <c r="B34" i="53"/>
  <c r="B5" i="53"/>
  <c r="B34" i="19"/>
  <c r="C19" i="44"/>
  <c r="E27" i="21"/>
  <c r="G68" i="13" s="1"/>
  <c r="C27" i="21"/>
  <c r="D64" i="21"/>
  <c r="B64" i="21"/>
  <c r="D63" i="21"/>
  <c r="B63" i="21"/>
  <c r="D62" i="21"/>
  <c r="B62" i="21"/>
  <c r="D61" i="21"/>
  <c r="B61" i="21"/>
  <c r="F58" i="21"/>
  <c r="G25" i="57" s="1"/>
  <c r="D58" i="21"/>
  <c r="E25" i="57" s="1"/>
  <c r="B58" i="21"/>
  <c r="B56" i="21"/>
  <c r="C75" i="8"/>
  <c r="C101" i="8" s="1"/>
  <c r="C35" i="10"/>
  <c r="C74" i="10"/>
  <c r="C99" i="10" s="1"/>
  <c r="C41" i="11"/>
  <c r="C79" i="11"/>
  <c r="C104" i="11" s="1"/>
  <c r="C35" i="12"/>
  <c r="C97" i="12" s="1"/>
  <c r="B37" i="12" s="1"/>
  <c r="C74" i="12"/>
  <c r="C99" i="12" s="1"/>
  <c r="C35" i="13"/>
  <c r="C75" i="13"/>
  <c r="C100" i="13" s="1"/>
  <c r="B77" i="13" s="1"/>
  <c r="C35" i="8"/>
  <c r="C76" i="34"/>
  <c r="C31" i="3"/>
  <c r="C30" i="3"/>
  <c r="C29" i="3"/>
  <c r="C28" i="3"/>
  <c r="C27" i="3"/>
  <c r="C26" i="3"/>
  <c r="C25" i="3"/>
  <c r="C21" i="3"/>
  <c r="C23" i="3"/>
  <c r="C22" i="3"/>
  <c r="C24" i="3"/>
  <c r="E32" i="2"/>
  <c r="D56" i="70" s="1"/>
  <c r="D74" i="34"/>
  <c r="D17" i="70" s="1"/>
  <c r="C74" i="34"/>
  <c r="C62" i="34"/>
  <c r="D34" i="34"/>
  <c r="C34" i="34"/>
  <c r="C22" i="34"/>
  <c r="C21" i="34" s="1"/>
  <c r="C36" i="34"/>
  <c r="D36" i="34"/>
  <c r="C20" i="3"/>
  <c r="D18" i="44"/>
  <c r="E73" i="13"/>
  <c r="B1" i="34"/>
  <c r="E1" i="34"/>
  <c r="H63" i="34" s="1"/>
  <c r="D37" i="43"/>
  <c r="D98" i="2"/>
  <c r="C104" i="7"/>
  <c r="D104" i="7"/>
  <c r="D78" i="12"/>
  <c r="E78" i="12" s="1"/>
  <c r="D39" i="12"/>
  <c r="E39" i="12" s="1"/>
  <c r="D45" i="11"/>
  <c r="E45" i="11" s="1"/>
  <c r="D83" i="11"/>
  <c r="E83" i="11" s="1"/>
  <c r="D78" i="10"/>
  <c r="E78" i="10" s="1"/>
  <c r="D39" i="10"/>
  <c r="E39" i="10" s="1"/>
  <c r="D79" i="8"/>
  <c r="E79" i="8" s="1"/>
  <c r="D39" i="8"/>
  <c r="E39" i="8" s="1"/>
  <c r="D40" i="34"/>
  <c r="E40" i="34" s="1"/>
  <c r="D80" i="34"/>
  <c r="E80" i="34" s="1"/>
  <c r="D108" i="7"/>
  <c r="E108" i="7" s="1"/>
  <c r="D39" i="13"/>
  <c r="E39" i="13" s="1"/>
  <c r="D79" i="13"/>
  <c r="E79" i="13" s="1"/>
  <c r="A42" i="21"/>
  <c r="A41" i="21"/>
  <c r="A40" i="21"/>
  <c r="A39" i="21"/>
  <c r="D57" i="54"/>
  <c r="E55" i="54"/>
  <c r="E54" i="54" s="1"/>
  <c r="D55" i="54"/>
  <c r="D43" i="70" s="1"/>
  <c r="C55" i="54"/>
  <c r="B43" i="70" s="1"/>
  <c r="E44" i="54"/>
  <c r="E43" i="54" s="1"/>
  <c r="D44" i="54"/>
  <c r="D43" i="54" s="1"/>
  <c r="C44" i="54"/>
  <c r="B34" i="54"/>
  <c r="E26" i="54"/>
  <c r="D26" i="54"/>
  <c r="D42" i="70" s="1"/>
  <c r="D29" i="54"/>
  <c r="C26" i="54"/>
  <c r="B42" i="70" s="1"/>
  <c r="E15" i="54"/>
  <c r="E14" i="54" s="1"/>
  <c r="D15" i="54"/>
  <c r="D14" i="54" s="1"/>
  <c r="C15" i="54"/>
  <c r="C14" i="54" s="1"/>
  <c r="E1" i="54"/>
  <c r="C5" i="54" s="1"/>
  <c r="B1" i="54"/>
  <c r="E55" i="53"/>
  <c r="F41" i="70" s="1"/>
  <c r="D55" i="53"/>
  <c r="D58" i="53" s="1"/>
  <c r="C55" i="53"/>
  <c r="E44" i="53"/>
  <c r="E43" i="53" s="1"/>
  <c r="D44" i="53"/>
  <c r="D43" i="53" s="1"/>
  <c r="C44" i="53"/>
  <c r="C43" i="53" s="1"/>
  <c r="E26" i="53"/>
  <c r="D26" i="53"/>
  <c r="D40" i="70" s="1"/>
  <c r="C26" i="53"/>
  <c r="B40" i="70" s="1"/>
  <c r="B40" i="21"/>
  <c r="E15" i="53"/>
  <c r="E14" i="53" s="1"/>
  <c r="D15" i="53"/>
  <c r="C15" i="53"/>
  <c r="C14" i="53" s="1"/>
  <c r="C16" i="53"/>
  <c r="C27" i="53" s="1"/>
  <c r="D6" i="53" s="1"/>
  <c r="D16" i="53" s="1"/>
  <c r="D27" i="53" s="1"/>
  <c r="E1" i="53"/>
  <c r="B1" i="53"/>
  <c r="A91" i="43"/>
  <c r="A90" i="43"/>
  <c r="A89" i="43"/>
  <c r="A88" i="43"/>
  <c r="A87" i="43"/>
  <c r="B77" i="7"/>
  <c r="B78" i="7"/>
  <c r="B79" i="7"/>
  <c r="B76" i="7"/>
  <c r="B75" i="7"/>
  <c r="B74" i="7"/>
  <c r="B73" i="7"/>
  <c r="B72" i="7"/>
  <c r="D129" i="9"/>
  <c r="E79" i="7" s="1"/>
  <c r="C129" i="9"/>
  <c r="D79" i="7" s="1"/>
  <c r="B129" i="9"/>
  <c r="C79" i="7" s="1"/>
  <c r="D122" i="9"/>
  <c r="E78" i="7" s="1"/>
  <c r="C122" i="9"/>
  <c r="D78" i="7" s="1"/>
  <c r="B122" i="9"/>
  <c r="C78" i="7" s="1"/>
  <c r="D115" i="9"/>
  <c r="E77" i="7" s="1"/>
  <c r="C115" i="9"/>
  <c r="D77" i="7" s="1"/>
  <c r="B115" i="9"/>
  <c r="C77" i="7" s="1"/>
  <c r="D108" i="9"/>
  <c r="E76" i="7" s="1"/>
  <c r="C108" i="9"/>
  <c r="D76" i="7" s="1"/>
  <c r="B108" i="9"/>
  <c r="C76" i="7" s="1"/>
  <c r="D101" i="9"/>
  <c r="C101" i="9"/>
  <c r="D75" i="7" s="1"/>
  <c r="B101" i="9"/>
  <c r="D95" i="9"/>
  <c r="E74" i="7" s="1"/>
  <c r="C95" i="9"/>
  <c r="D74" i="7" s="1"/>
  <c r="B95" i="9"/>
  <c r="C74" i="7" s="1"/>
  <c r="D88" i="9"/>
  <c r="E73" i="7"/>
  <c r="C88" i="9"/>
  <c r="D73" i="7" s="1"/>
  <c r="B88" i="9"/>
  <c r="C73" i="7" s="1"/>
  <c r="D81" i="9"/>
  <c r="E72" i="7" s="1"/>
  <c r="C81" i="9"/>
  <c r="D72" i="7" s="1"/>
  <c r="B81" i="9"/>
  <c r="C72" i="7" s="1"/>
  <c r="D22" i="44"/>
  <c r="D24" i="44" s="1"/>
  <c r="A101" i="2"/>
  <c r="A100" i="2"/>
  <c r="D83" i="2"/>
  <c r="C26" i="14"/>
  <c r="B28" i="70" s="1"/>
  <c r="C15" i="14"/>
  <c r="C16" i="14" s="1"/>
  <c r="C27" i="14" s="1"/>
  <c r="D26" i="14"/>
  <c r="D28" i="70" s="1"/>
  <c r="E26" i="14"/>
  <c r="F28" i="70" s="1"/>
  <c r="C28" i="14"/>
  <c r="D28" i="14"/>
  <c r="C61" i="14"/>
  <c r="B29" i="70" s="1"/>
  <c r="D61" i="14"/>
  <c r="E61" i="14"/>
  <c r="F29" i="70" s="1"/>
  <c r="C63" i="14"/>
  <c r="D63" i="14"/>
  <c r="C31" i="15"/>
  <c r="B30" i="70" s="1"/>
  <c r="D31" i="15"/>
  <c r="D30" i="70" s="1"/>
  <c r="E31" i="15"/>
  <c r="F30" i="70" s="1"/>
  <c r="C33" i="15"/>
  <c r="D33" i="15"/>
  <c r="C64" i="15"/>
  <c r="B31" i="70" s="1"/>
  <c r="D64" i="15"/>
  <c r="D31" i="21" s="1"/>
  <c r="E64" i="15"/>
  <c r="E63" i="15" s="1"/>
  <c r="C66" i="15"/>
  <c r="C67" i="15" s="1"/>
  <c r="D66" i="15"/>
  <c r="C28" i="16"/>
  <c r="D32" i="70"/>
  <c r="F32" i="70"/>
  <c r="C31" i="16"/>
  <c r="D31" i="16"/>
  <c r="C60" i="16"/>
  <c r="B33" i="70" s="1"/>
  <c r="D60" i="16"/>
  <c r="D33" i="70" s="1"/>
  <c r="E60" i="16"/>
  <c r="C62" i="16"/>
  <c r="D62" i="16"/>
  <c r="C26" i="17"/>
  <c r="B34" i="21" s="1"/>
  <c r="C25" i="17"/>
  <c r="D26" i="17"/>
  <c r="D34" i="70" s="1"/>
  <c r="E26" i="17"/>
  <c r="F34" i="70" s="1"/>
  <c r="C28" i="17"/>
  <c r="D28" i="17"/>
  <c r="C55" i="17"/>
  <c r="B35" i="70" s="1"/>
  <c r="D55" i="17"/>
  <c r="D35" i="70" s="1"/>
  <c r="E55" i="17"/>
  <c r="F35" i="70" s="1"/>
  <c r="E54" i="17"/>
  <c r="C57" i="17"/>
  <c r="D57" i="17"/>
  <c r="D58" i="17" s="1"/>
  <c r="C25" i="18"/>
  <c r="B36" i="70" s="1"/>
  <c r="D25" i="18"/>
  <c r="D36" i="21" s="1"/>
  <c r="E25" i="18"/>
  <c r="F36" i="70" s="1"/>
  <c r="D27" i="18"/>
  <c r="C27" i="18"/>
  <c r="C28" i="18" s="1"/>
  <c r="C56" i="18"/>
  <c r="B37" i="70" s="1"/>
  <c r="D56" i="18"/>
  <c r="D37" i="70" s="1"/>
  <c r="E56" i="18"/>
  <c r="F37" i="70" s="1"/>
  <c r="C58" i="18"/>
  <c r="D58" i="18"/>
  <c r="C26" i="19"/>
  <c r="D26" i="19"/>
  <c r="E26" i="19"/>
  <c r="F38" i="70" s="1"/>
  <c r="D28" i="19"/>
  <c r="C28" i="19"/>
  <c r="C55" i="19"/>
  <c r="B39" i="70" s="1"/>
  <c r="D55" i="19"/>
  <c r="D39" i="70" s="1"/>
  <c r="E55" i="19"/>
  <c r="F39" i="21" s="1"/>
  <c r="C44" i="35"/>
  <c r="B44" i="70" s="1"/>
  <c r="D44" i="35"/>
  <c r="D44" i="70" s="1"/>
  <c r="E44" i="35"/>
  <c r="F44" i="70" s="1"/>
  <c r="D46" i="35"/>
  <c r="C46" i="35"/>
  <c r="C44" i="36"/>
  <c r="D44" i="36"/>
  <c r="D45" i="70" s="1"/>
  <c r="E44" i="36"/>
  <c r="F45" i="70" s="1"/>
  <c r="C46" i="36"/>
  <c r="C47" i="36" s="1"/>
  <c r="D46" i="36"/>
  <c r="C44" i="37"/>
  <c r="B46" i="70" s="1"/>
  <c r="D44" i="37"/>
  <c r="E44" i="37"/>
  <c r="F46" i="70" s="1"/>
  <c r="D46" i="37"/>
  <c r="D47" i="37"/>
  <c r="C46" i="37"/>
  <c r="C44" i="38"/>
  <c r="B47" i="70" s="1"/>
  <c r="D44" i="38"/>
  <c r="D47" i="70" s="1"/>
  <c r="E44" i="38"/>
  <c r="D46" i="38"/>
  <c r="C46" i="38"/>
  <c r="D63" i="9"/>
  <c r="E71" i="7" s="1"/>
  <c r="D56" i="9"/>
  <c r="E70" i="7" s="1"/>
  <c r="D49" i="9"/>
  <c r="D42" i="9"/>
  <c r="E68" i="7" s="1"/>
  <c r="D35" i="9"/>
  <c r="E67" i="7" s="1"/>
  <c r="D29" i="9"/>
  <c r="E66" i="7" s="1"/>
  <c r="C63" i="9"/>
  <c r="D71" i="7" s="1"/>
  <c r="C56" i="9"/>
  <c r="D70" i="7" s="1"/>
  <c r="C49" i="9"/>
  <c r="D69" i="7" s="1"/>
  <c r="C42" i="9"/>
  <c r="D68" i="7" s="1"/>
  <c r="C35" i="9"/>
  <c r="D67" i="7" s="1"/>
  <c r="C29" i="9"/>
  <c r="D66" i="7" s="1"/>
  <c r="D22" i="9"/>
  <c r="E65" i="7" s="1"/>
  <c r="C15" i="9"/>
  <c r="D64" i="7" s="1"/>
  <c r="C22" i="9"/>
  <c r="D65" i="7" s="1"/>
  <c r="B63" i="9"/>
  <c r="C71" i="7" s="1"/>
  <c r="B56" i="9"/>
  <c r="C70" i="7" s="1"/>
  <c r="B49" i="9"/>
  <c r="C69" i="7" s="1"/>
  <c r="B42" i="9"/>
  <c r="C68" i="7" s="1"/>
  <c r="B35" i="9"/>
  <c r="C67" i="7" s="1"/>
  <c r="B29" i="9"/>
  <c r="C66" i="7" s="1"/>
  <c r="B22" i="9"/>
  <c r="C65" i="7" s="1"/>
  <c r="D15" i="9"/>
  <c r="E64" i="7" s="1"/>
  <c r="B15" i="9"/>
  <c r="B70" i="7"/>
  <c r="B71" i="7"/>
  <c r="B69" i="7"/>
  <c r="B68" i="7"/>
  <c r="B67" i="7"/>
  <c r="B66" i="7"/>
  <c r="B65" i="7"/>
  <c r="B64" i="7"/>
  <c r="D22" i="21"/>
  <c r="D33" i="10"/>
  <c r="D20" i="21" s="1"/>
  <c r="D72" i="10"/>
  <c r="D33" i="8"/>
  <c r="D18" i="70" s="1"/>
  <c r="C7" i="5"/>
  <c r="C8" i="5"/>
  <c r="C73" i="13"/>
  <c r="C61" i="13"/>
  <c r="C60" i="13" s="1"/>
  <c r="D73" i="13"/>
  <c r="C33" i="13"/>
  <c r="C21" i="13"/>
  <c r="C22" i="13" s="1"/>
  <c r="D33" i="13"/>
  <c r="D26" i="70" s="1"/>
  <c r="C72" i="12"/>
  <c r="C60" i="12"/>
  <c r="C59" i="12" s="1"/>
  <c r="D72" i="12"/>
  <c r="D25" i="70" s="1"/>
  <c r="C33" i="12"/>
  <c r="B24" i="70" s="1"/>
  <c r="C21" i="12"/>
  <c r="C20" i="12" s="1"/>
  <c r="D33" i="12"/>
  <c r="C77" i="11"/>
  <c r="C65" i="11"/>
  <c r="D77" i="11"/>
  <c r="B22" i="70"/>
  <c r="C25" i="11"/>
  <c r="C24" i="11" s="1"/>
  <c r="C72" i="10"/>
  <c r="C60" i="10"/>
  <c r="C59" i="10" s="1"/>
  <c r="C33" i="10"/>
  <c r="C21" i="10"/>
  <c r="C20" i="10" s="1"/>
  <c r="C73" i="8"/>
  <c r="B19" i="70" s="1"/>
  <c r="C61" i="8"/>
  <c r="C62" i="8" s="1"/>
  <c r="C33" i="8"/>
  <c r="C32" i="8" s="1"/>
  <c r="C20" i="8"/>
  <c r="C19" i="8" s="1"/>
  <c r="C52" i="7"/>
  <c r="C53" i="7" s="1"/>
  <c r="C62" i="7" s="1"/>
  <c r="E1" i="13"/>
  <c r="E1" i="12"/>
  <c r="E1" i="11"/>
  <c r="G8" i="11" s="1"/>
  <c r="E1" i="10"/>
  <c r="E1" i="8"/>
  <c r="H23" i="8" s="1"/>
  <c r="E1" i="7"/>
  <c r="C109" i="7" s="1"/>
  <c r="E1" i="14"/>
  <c r="E34" i="14" s="1"/>
  <c r="E1" i="15"/>
  <c r="E5" i="15"/>
  <c r="E1" i="16"/>
  <c r="C5" i="16" s="1"/>
  <c r="E1" i="17"/>
  <c r="E1" i="18"/>
  <c r="E1" i="19"/>
  <c r="E1" i="37"/>
  <c r="C5" i="37" s="1"/>
  <c r="E1" i="38"/>
  <c r="B41" i="38" s="1"/>
  <c r="F1" i="44"/>
  <c r="B3" i="44" s="1"/>
  <c r="E16" i="2"/>
  <c r="G21" i="2" s="1"/>
  <c r="D16" i="2"/>
  <c r="A56" i="2"/>
  <c r="J28" i="42"/>
  <c r="J17" i="42"/>
  <c r="J18" i="42" s="1"/>
  <c r="H28" i="42"/>
  <c r="H17" i="42"/>
  <c r="F28" i="42"/>
  <c r="F17" i="42"/>
  <c r="F18" i="42" s="1"/>
  <c r="F29" i="42" s="1"/>
  <c r="F30" i="42" s="1"/>
  <c r="D28" i="42"/>
  <c r="D17" i="42"/>
  <c r="D18" i="42" s="1"/>
  <c r="B28" i="42"/>
  <c r="B17" i="42"/>
  <c r="J28" i="41"/>
  <c r="J17" i="41"/>
  <c r="J18" i="41" s="1"/>
  <c r="H28" i="41"/>
  <c r="H17" i="41"/>
  <c r="H18" i="41" s="1"/>
  <c r="H29" i="41" s="1"/>
  <c r="H30" i="41" s="1"/>
  <c r="F28" i="41"/>
  <c r="F17" i="41"/>
  <c r="F18" i="41" s="1"/>
  <c r="D28" i="41"/>
  <c r="D17" i="41"/>
  <c r="D18" i="41" s="1"/>
  <c r="B28" i="41"/>
  <c r="B17" i="41"/>
  <c r="B18" i="41" s="1"/>
  <c r="J28" i="40"/>
  <c r="J17" i="40"/>
  <c r="J18" i="40" s="1"/>
  <c r="J29" i="40" s="1"/>
  <c r="J30" i="40" s="1"/>
  <c r="H28" i="40"/>
  <c r="H17" i="40"/>
  <c r="H18" i="40"/>
  <c r="H29" i="40" s="1"/>
  <c r="H30" i="40" s="1"/>
  <c r="F17" i="40"/>
  <c r="F18" i="40" s="1"/>
  <c r="F28" i="40"/>
  <c r="D17" i="40"/>
  <c r="D18" i="40" s="1"/>
  <c r="D29" i="40" s="1"/>
  <c r="D30" i="40" s="1"/>
  <c r="D28" i="40"/>
  <c r="B17" i="40"/>
  <c r="B18" i="40" s="1"/>
  <c r="B28" i="40"/>
  <c r="J18" i="39"/>
  <c r="J19" i="39" s="1"/>
  <c r="J29" i="39"/>
  <c r="H18" i="39"/>
  <c r="H19" i="39" s="1"/>
  <c r="H29" i="39"/>
  <c r="F18" i="39"/>
  <c r="F19" i="39" s="1"/>
  <c r="F29" i="39"/>
  <c r="D18" i="39"/>
  <c r="D19" i="39" s="1"/>
  <c r="D29" i="39"/>
  <c r="B29" i="39"/>
  <c r="B19" i="39"/>
  <c r="I5" i="42"/>
  <c r="G5" i="42"/>
  <c r="E5" i="42"/>
  <c r="C5" i="42"/>
  <c r="A5" i="42"/>
  <c r="K1" i="42"/>
  <c r="F2" i="42" s="1"/>
  <c r="K1" i="41"/>
  <c r="F2" i="41" s="1"/>
  <c r="K1" i="40"/>
  <c r="F2" i="40" s="1"/>
  <c r="K1" i="39"/>
  <c r="F2" i="39" s="1"/>
  <c r="H2" i="21"/>
  <c r="J62" i="21" s="1"/>
  <c r="E1" i="43"/>
  <c r="A54" i="43" s="1"/>
  <c r="E9" i="14"/>
  <c r="D9" i="14"/>
  <c r="D22" i="5"/>
  <c r="E23" i="5"/>
  <c r="F24" i="5"/>
  <c r="E16" i="7"/>
  <c r="D6" i="44"/>
  <c r="D7" i="44"/>
  <c r="E34" i="34"/>
  <c r="D8" i="44"/>
  <c r="E8" i="44" s="1"/>
  <c r="E59" i="34" s="1"/>
  <c r="E74" i="34"/>
  <c r="D9" i="44"/>
  <c r="E9" i="44" s="1"/>
  <c r="E17" i="8" s="1"/>
  <c r="E33" i="8"/>
  <c r="E32" i="8" s="1"/>
  <c r="D10" i="44"/>
  <c r="E73" i="8"/>
  <c r="F19" i="70" s="1"/>
  <c r="D11" i="44"/>
  <c r="E11" i="44" s="1"/>
  <c r="E18" i="10" s="1"/>
  <c r="E33" i="10"/>
  <c r="D12" i="44"/>
  <c r="E72" i="10"/>
  <c r="D13" i="44"/>
  <c r="E38" i="11"/>
  <c r="D14" i="44"/>
  <c r="E14" i="44" s="1"/>
  <c r="E62" i="11" s="1"/>
  <c r="E77" i="11"/>
  <c r="F23" i="70" s="1"/>
  <c r="D15" i="44"/>
  <c r="E33" i="12"/>
  <c r="D28" i="3" s="1"/>
  <c r="D17" i="44"/>
  <c r="E33" i="13"/>
  <c r="D16" i="44"/>
  <c r="E72" i="12"/>
  <c r="E76" i="12" s="1"/>
  <c r="A1" i="44"/>
  <c r="B7" i="44"/>
  <c r="B6" i="44"/>
  <c r="E15" i="18"/>
  <c r="E14" i="18" s="1"/>
  <c r="D15" i="18"/>
  <c r="D14" i="18" s="1"/>
  <c r="C15" i="18"/>
  <c r="C14" i="18" s="1"/>
  <c r="E45" i="14"/>
  <c r="E44" i="14" s="1"/>
  <c r="D45" i="14"/>
  <c r="D44" i="14" s="1"/>
  <c r="C45" i="14"/>
  <c r="C46" i="14" s="1"/>
  <c r="E18" i="38"/>
  <c r="E17" i="38" s="1"/>
  <c r="D18" i="38"/>
  <c r="D17" i="38"/>
  <c r="C18" i="38"/>
  <c r="C17" i="38" s="1"/>
  <c r="E18" i="37"/>
  <c r="E17" i="37" s="1"/>
  <c r="D18" i="37"/>
  <c r="D17" i="37" s="1"/>
  <c r="C18" i="37"/>
  <c r="E18" i="36"/>
  <c r="E17" i="36" s="1"/>
  <c r="D18" i="36"/>
  <c r="D17" i="36" s="1"/>
  <c r="C18" i="36"/>
  <c r="C17" i="36" s="1"/>
  <c r="C19" i="36"/>
  <c r="C45" i="36" s="1"/>
  <c r="E17" i="35"/>
  <c r="E16" i="35" s="1"/>
  <c r="D17" i="35"/>
  <c r="D16" i="35" s="1"/>
  <c r="C17" i="35"/>
  <c r="C43" i="35"/>
  <c r="C54" i="19"/>
  <c r="E44" i="19"/>
  <c r="E43" i="19" s="1"/>
  <c r="D44" i="19"/>
  <c r="D43" i="19" s="1"/>
  <c r="C44" i="19"/>
  <c r="E15" i="19"/>
  <c r="E14" i="19"/>
  <c r="D15" i="19"/>
  <c r="D14" i="19" s="1"/>
  <c r="C15" i="19"/>
  <c r="E43" i="18"/>
  <c r="E42" i="18" s="1"/>
  <c r="D43" i="18"/>
  <c r="D42" i="18" s="1"/>
  <c r="C43" i="18"/>
  <c r="E44" i="17"/>
  <c r="E43" i="17" s="1"/>
  <c r="D44" i="17"/>
  <c r="D43" i="17" s="1"/>
  <c r="C44" i="17"/>
  <c r="E15" i="17"/>
  <c r="E14" i="17" s="1"/>
  <c r="D15" i="17"/>
  <c r="D14" i="17"/>
  <c r="C15" i="17"/>
  <c r="C14" i="17" s="1"/>
  <c r="E15" i="16"/>
  <c r="E14" i="16" s="1"/>
  <c r="D15" i="16"/>
  <c r="D14" i="16" s="1"/>
  <c r="C15" i="16"/>
  <c r="C14" i="16" s="1"/>
  <c r="E47" i="16"/>
  <c r="E46" i="16"/>
  <c r="D47" i="16"/>
  <c r="D46" i="16" s="1"/>
  <c r="C47" i="16"/>
  <c r="E59" i="16"/>
  <c r="E15" i="15"/>
  <c r="E14" i="15" s="1"/>
  <c r="D15" i="15"/>
  <c r="D14" i="15" s="1"/>
  <c r="C15" i="15"/>
  <c r="C14" i="15" s="1"/>
  <c r="E49" i="15"/>
  <c r="E48" i="15" s="1"/>
  <c r="D49" i="15"/>
  <c r="D48" i="15" s="1"/>
  <c r="C49" i="15"/>
  <c r="E8" i="14"/>
  <c r="D8" i="14"/>
  <c r="D26" i="44"/>
  <c r="D28" i="44"/>
  <c r="E1" i="35"/>
  <c r="E1" i="36"/>
  <c r="A95" i="43"/>
  <c r="A94" i="43"/>
  <c r="A93" i="43"/>
  <c r="A92" i="43"/>
  <c r="A86" i="43"/>
  <c r="A85" i="43"/>
  <c r="A84" i="43"/>
  <c r="A83" i="43"/>
  <c r="A82" i="43"/>
  <c r="A81" i="43"/>
  <c r="A80" i="43"/>
  <c r="A79" i="43"/>
  <c r="A78" i="43"/>
  <c r="A77" i="43"/>
  <c r="A76" i="43"/>
  <c r="A64" i="43"/>
  <c r="A63" i="43"/>
  <c r="C26" i="21"/>
  <c r="C25" i="21"/>
  <c r="C24" i="21"/>
  <c r="C23" i="21"/>
  <c r="C22" i="21"/>
  <c r="C21" i="21"/>
  <c r="C20" i="21"/>
  <c r="C19" i="21"/>
  <c r="C18" i="21"/>
  <c r="C17" i="21"/>
  <c r="I1" i="5"/>
  <c r="C6" i="5" s="1"/>
  <c r="D39" i="32"/>
  <c r="A55" i="3"/>
  <c r="A54" i="3"/>
  <c r="A53" i="3"/>
  <c r="A52" i="3"/>
  <c r="A51" i="21"/>
  <c r="A50" i="21"/>
  <c r="A49" i="21"/>
  <c r="A48" i="21"/>
  <c r="M1" i="22"/>
  <c r="G7" i="22" s="1"/>
  <c r="D104" i="2"/>
  <c r="E104" i="2"/>
  <c r="A14" i="2"/>
  <c r="A103" i="2"/>
  <c r="K7" i="42"/>
  <c r="A1" i="42"/>
  <c r="A1" i="41"/>
  <c r="A1" i="40"/>
  <c r="A1" i="39"/>
  <c r="B1" i="22"/>
  <c r="A32" i="2"/>
  <c r="E39" i="32"/>
  <c r="E41" i="32" s="1"/>
  <c r="G42" i="22"/>
  <c r="G32" i="22"/>
  <c r="G20" i="22"/>
  <c r="E26" i="21"/>
  <c r="G29" i="13" s="1"/>
  <c r="E25" i="21"/>
  <c r="G69" i="12" s="1"/>
  <c r="E24" i="21"/>
  <c r="G30" i="12" s="1"/>
  <c r="E23" i="21"/>
  <c r="G76" i="11" s="1"/>
  <c r="E22" i="21"/>
  <c r="G34" i="11" s="1"/>
  <c r="E21" i="21"/>
  <c r="G71" i="10" s="1"/>
  <c r="E20" i="21"/>
  <c r="E19" i="21"/>
  <c r="G29" i="10" s="1"/>
  <c r="E18" i="21"/>
  <c r="G71" i="8" s="1"/>
  <c r="E17" i="21"/>
  <c r="G72" i="34" s="1"/>
  <c r="E16" i="21"/>
  <c r="G30" i="34" s="1"/>
  <c r="E15" i="21"/>
  <c r="G99" i="7" s="1"/>
  <c r="D46" i="21"/>
  <c r="B44" i="21"/>
  <c r="C55" i="3"/>
  <c r="C54" i="3"/>
  <c r="C53" i="3"/>
  <c r="C52" i="3"/>
  <c r="C51" i="3"/>
  <c r="C50" i="3"/>
  <c r="C49" i="3"/>
  <c r="C48" i="3"/>
  <c r="A16" i="21"/>
  <c r="C16" i="21"/>
  <c r="A43" i="21"/>
  <c r="A47" i="3"/>
  <c r="B20" i="3"/>
  <c r="B8" i="5"/>
  <c r="B1" i="5"/>
  <c r="G1" i="32"/>
  <c r="F7" i="32" s="1"/>
  <c r="B1" i="32"/>
  <c r="M20" i="22"/>
  <c r="M32" i="22"/>
  <c r="M42" i="22"/>
  <c r="L20" i="22"/>
  <c r="L32" i="22"/>
  <c r="L42" i="22"/>
  <c r="K20" i="22"/>
  <c r="K32" i="22"/>
  <c r="K42" i="22"/>
  <c r="J20" i="22"/>
  <c r="J32" i="22"/>
  <c r="J42" i="22"/>
  <c r="I1" i="23"/>
  <c r="H9" i="23" s="1"/>
  <c r="D1" i="9"/>
  <c r="C5" i="9" s="1"/>
  <c r="C73" i="9" s="1"/>
  <c r="G1" i="3"/>
  <c r="D9" i="3" s="1"/>
  <c r="A2" i="3"/>
  <c r="A1" i="43"/>
  <c r="B5" i="35"/>
  <c r="B1" i="35"/>
  <c r="B5" i="36"/>
  <c r="B1" i="36"/>
  <c r="B5" i="37"/>
  <c r="B1" i="37"/>
  <c r="B5" i="38"/>
  <c r="B1" i="38"/>
  <c r="I5" i="41"/>
  <c r="G5" i="41"/>
  <c r="E5" i="41"/>
  <c r="C5" i="41"/>
  <c r="A5" i="41"/>
  <c r="I5" i="40"/>
  <c r="G5" i="40"/>
  <c r="E5" i="40"/>
  <c r="C5" i="40"/>
  <c r="A5" i="40"/>
  <c r="I5" i="39"/>
  <c r="G5" i="39"/>
  <c r="E5" i="39"/>
  <c r="C5" i="39"/>
  <c r="A5" i="39"/>
  <c r="B86" i="2"/>
  <c r="A84" i="2"/>
  <c r="D84" i="2"/>
  <c r="K7" i="41"/>
  <c r="K7" i="40"/>
  <c r="K7" i="39"/>
  <c r="A47" i="21"/>
  <c r="A46" i="21"/>
  <c r="A45" i="21"/>
  <c r="A51" i="3"/>
  <c r="A50" i="3"/>
  <c r="A49" i="3"/>
  <c r="B19" i="3"/>
  <c r="C42" i="3"/>
  <c r="C41" i="3"/>
  <c r="C40" i="3"/>
  <c r="C39" i="3"/>
  <c r="C38" i="3"/>
  <c r="C34" i="3"/>
  <c r="C33" i="3"/>
  <c r="C32" i="3"/>
  <c r="A48" i="3"/>
  <c r="A42" i="3"/>
  <c r="A41" i="3"/>
  <c r="A40" i="3"/>
  <c r="A39" i="3"/>
  <c r="A38" i="3"/>
  <c r="A34" i="3"/>
  <c r="A33" i="3"/>
  <c r="A32" i="3"/>
  <c r="A4" i="3"/>
  <c r="A1" i="9"/>
  <c r="A69" i="9" s="1"/>
  <c r="B61" i="7"/>
  <c r="B57" i="7"/>
  <c r="B6" i="7"/>
  <c r="B1" i="7"/>
  <c r="B85" i="2"/>
  <c r="B1" i="23"/>
  <c r="I28" i="23"/>
  <c r="H28" i="23"/>
  <c r="G28" i="23"/>
  <c r="F64" i="70" s="1"/>
  <c r="B7" i="5"/>
  <c r="B1" i="12"/>
  <c r="B1" i="13"/>
  <c r="B39" i="15"/>
  <c r="B5" i="15"/>
  <c r="B1" i="15"/>
  <c r="B37" i="16"/>
  <c r="B5" i="16"/>
  <c r="B1" i="16"/>
  <c r="B34" i="17"/>
  <c r="B5" i="17"/>
  <c r="B1" i="17"/>
  <c r="B33" i="18"/>
  <c r="B5" i="18"/>
  <c r="B1" i="18"/>
  <c r="B5" i="19"/>
  <c r="B1" i="19"/>
  <c r="B1" i="8"/>
  <c r="B1" i="10"/>
  <c r="B1" i="11"/>
  <c r="B34" i="14"/>
  <c r="B5" i="14"/>
  <c r="B1" i="14"/>
  <c r="A44" i="21"/>
  <c r="A38" i="21"/>
  <c r="A37" i="21"/>
  <c r="A36" i="21"/>
  <c r="A35" i="21"/>
  <c r="A34" i="21"/>
  <c r="A33" i="21"/>
  <c r="A32" i="21"/>
  <c r="A31" i="21"/>
  <c r="A30" i="21"/>
  <c r="A29" i="21"/>
  <c r="A28" i="21"/>
  <c r="C15" i="21"/>
  <c r="F33" i="21"/>
  <c r="A4" i="21"/>
  <c r="A15" i="21"/>
  <c r="C54" i="54"/>
  <c r="J13" i="11"/>
  <c r="J55" i="10"/>
  <c r="J56" i="10"/>
  <c r="J52" i="13"/>
  <c r="J53" i="13"/>
  <c r="J60" i="11"/>
  <c r="J61" i="11"/>
  <c r="J87" i="7"/>
  <c r="J53" i="12"/>
  <c r="J54" i="12"/>
  <c r="J55" i="8"/>
  <c r="J56" i="8"/>
  <c r="C43" i="36"/>
  <c r="B18" i="42"/>
  <c r="F46" i="21"/>
  <c r="E43" i="37"/>
  <c r="C29" i="53"/>
  <c r="E46" i="36"/>
  <c r="E28" i="19"/>
  <c r="D39" i="3"/>
  <c r="E28" i="16"/>
  <c r="F18" i="5"/>
  <c r="E12" i="13" s="1"/>
  <c r="G16" i="5"/>
  <c r="E13" i="12" s="1"/>
  <c r="G19" i="5"/>
  <c r="E52" i="13" s="1"/>
  <c r="G17" i="5"/>
  <c r="E52" i="12" s="1"/>
  <c r="G18" i="5"/>
  <c r="E13" i="13" s="1"/>
  <c r="H17" i="5"/>
  <c r="E53" i="12" s="1"/>
  <c r="H18" i="5"/>
  <c r="E14" i="13" s="1"/>
  <c r="H19" i="5"/>
  <c r="E53" i="13" s="1"/>
  <c r="H16" i="5"/>
  <c r="E14" i="12" s="1"/>
  <c r="F16" i="5"/>
  <c r="E12" i="12" s="1"/>
  <c r="D18" i="5"/>
  <c r="E10" i="13" s="1"/>
  <c r="D17" i="5"/>
  <c r="E49" i="12" s="1"/>
  <c r="D16" i="5"/>
  <c r="E10" i="12" s="1"/>
  <c r="D19" i="5"/>
  <c r="E18" i="5"/>
  <c r="E11" i="13" s="1"/>
  <c r="F19" i="5"/>
  <c r="E51" i="13" s="1"/>
  <c r="E16" i="5"/>
  <c r="E11" i="12" s="1"/>
  <c r="E19" i="5"/>
  <c r="E50" i="13" s="1"/>
  <c r="E17" i="5"/>
  <c r="E50" i="12" s="1"/>
  <c r="F17" i="5"/>
  <c r="E51" i="12" s="1"/>
  <c r="F38" i="13"/>
  <c r="D51" i="3"/>
  <c r="E43" i="38"/>
  <c r="C47" i="35"/>
  <c r="D47" i="3"/>
  <c r="F43" i="21"/>
  <c r="D43" i="21"/>
  <c r="B42" i="21"/>
  <c r="C25" i="53"/>
  <c r="F41" i="21"/>
  <c r="E54" i="53"/>
  <c r="D54" i="53"/>
  <c r="B39" i="21"/>
  <c r="D38" i="21"/>
  <c r="F34" i="21"/>
  <c r="E28" i="14"/>
  <c r="E25" i="14"/>
  <c r="D32" i="3"/>
  <c r="C44" i="14"/>
  <c r="C34" i="14"/>
  <c r="D71" i="12"/>
  <c r="C61" i="12"/>
  <c r="C73" i="12" s="1"/>
  <c r="C100" i="12" s="1"/>
  <c r="D72" i="8"/>
  <c r="D59" i="16"/>
  <c r="E75" i="7"/>
  <c r="G24" i="12"/>
  <c r="B24" i="21"/>
  <c r="C43" i="38"/>
  <c r="B47" i="21"/>
  <c r="E31" i="16"/>
  <c r="F32" i="21"/>
  <c r="C16" i="54"/>
  <c r="C27" i="54" s="1"/>
  <c r="F47" i="21"/>
  <c r="C16" i="17"/>
  <c r="H8" i="5"/>
  <c r="E14" i="34" s="1"/>
  <c r="B27" i="18"/>
  <c r="E5" i="19"/>
  <c r="E34" i="19"/>
  <c r="D20" i="12"/>
  <c r="F8" i="5"/>
  <c r="D8" i="5"/>
  <c r="E10" i="34" s="1"/>
  <c r="G8" i="5"/>
  <c r="E13" i="34" s="1"/>
  <c r="E8" i="5"/>
  <c r="E11" i="34" s="1"/>
  <c r="E25" i="54"/>
  <c r="E28" i="54"/>
  <c r="D46" i="3"/>
  <c r="D44" i="3"/>
  <c r="D37" i="3"/>
  <c r="C34" i="53"/>
  <c r="B28" i="53"/>
  <c r="E5" i="53"/>
  <c r="E34" i="53"/>
  <c r="D43" i="3"/>
  <c r="D14" i="53"/>
  <c r="C50" i="15"/>
  <c r="C48" i="15"/>
  <c r="C43" i="37"/>
  <c r="B46" i="21"/>
  <c r="C14" i="19"/>
  <c r="C16" i="19"/>
  <c r="C46" i="16"/>
  <c r="C48" i="16"/>
  <c r="F44" i="21"/>
  <c r="B25" i="21"/>
  <c r="C71" i="12"/>
  <c r="D28" i="16"/>
  <c r="D32" i="21"/>
  <c r="F80" i="13"/>
  <c r="F27" i="21"/>
  <c r="C17" i="37"/>
  <c r="C19" i="37"/>
  <c r="C45" i="37" s="1"/>
  <c r="C64" i="7"/>
  <c r="D54" i="19"/>
  <c r="D58" i="19"/>
  <c r="D39" i="21"/>
  <c r="C55" i="18"/>
  <c r="B37" i="21"/>
  <c r="C32" i="12"/>
  <c r="B60" i="21"/>
  <c r="A9" i="21"/>
  <c r="J52" i="21"/>
  <c r="B12" i="21"/>
  <c r="D72" i="13"/>
  <c r="C76" i="11"/>
  <c r="G70" i="11"/>
  <c r="D23" i="21"/>
  <c r="C5" i="11"/>
  <c r="D12" i="21"/>
  <c r="J61" i="21"/>
  <c r="J45" i="21"/>
  <c r="E5" i="35"/>
  <c r="J54" i="21"/>
  <c r="F60" i="21"/>
  <c r="D54" i="21" l="1"/>
  <c r="D54" i="70"/>
  <c r="E55" i="18"/>
  <c r="E58" i="18"/>
  <c r="F37" i="21"/>
  <c r="D37" i="21"/>
  <c r="B30" i="39"/>
  <c r="B31" i="39" s="1"/>
  <c r="D24" i="18"/>
  <c r="E27" i="18"/>
  <c r="F36" i="21"/>
  <c r="D40" i="3"/>
  <c r="D35" i="21"/>
  <c r="D54" i="17"/>
  <c r="E25" i="17"/>
  <c r="C27" i="17"/>
  <c r="C30" i="17" s="1"/>
  <c r="D38" i="3"/>
  <c r="D32" i="16"/>
  <c r="E37" i="16"/>
  <c r="D5" i="16"/>
  <c r="C16" i="16"/>
  <c r="C30" i="16" s="1"/>
  <c r="C32" i="16"/>
  <c r="B30" i="21"/>
  <c r="F30" i="21"/>
  <c r="C65" i="15"/>
  <c r="C68" i="15" s="1"/>
  <c r="F31" i="21"/>
  <c r="D35" i="3"/>
  <c r="B31" i="21"/>
  <c r="D40" i="15"/>
  <c r="D50" i="15" s="1"/>
  <c r="C16" i="15"/>
  <c r="C32" i="15" s="1"/>
  <c r="C35" i="15" s="1"/>
  <c r="C63" i="15"/>
  <c r="E60" i="14"/>
  <c r="E63" i="14"/>
  <c r="E15" i="14"/>
  <c r="E14" i="14" s="1"/>
  <c r="F29" i="21"/>
  <c r="D33" i="3"/>
  <c r="C14" i="14"/>
  <c r="E72" i="8"/>
  <c r="C26" i="11"/>
  <c r="E76" i="11"/>
  <c r="D27" i="3"/>
  <c r="F86" i="11"/>
  <c r="E81" i="11"/>
  <c r="E79" i="11"/>
  <c r="F23" i="21"/>
  <c r="C99" i="8"/>
  <c r="B19" i="21"/>
  <c r="H62" i="8"/>
  <c r="G12" i="8"/>
  <c r="H20" i="8"/>
  <c r="H66" i="8"/>
  <c r="H17" i="8"/>
  <c r="D23" i="3"/>
  <c r="H22" i="8"/>
  <c r="C5" i="8"/>
  <c r="G22" i="8"/>
  <c r="H61" i="8"/>
  <c r="B35" i="8"/>
  <c r="H18" i="8"/>
  <c r="G15" i="8"/>
  <c r="G8" i="8"/>
  <c r="D5" i="8"/>
  <c r="C80" i="8"/>
  <c r="C44" i="8"/>
  <c r="C60" i="8"/>
  <c r="E75" i="8"/>
  <c r="D41" i="32"/>
  <c r="L43" i="22"/>
  <c r="D5" i="9"/>
  <c r="D73" i="9" s="1"/>
  <c r="D34" i="14"/>
  <c r="B23" i="14"/>
  <c r="B58" i="14"/>
  <c r="B23" i="19"/>
  <c r="B52" i="19"/>
  <c r="B46" i="35"/>
  <c r="B41" i="35"/>
  <c r="C45" i="34"/>
  <c r="C41" i="34"/>
  <c r="B69" i="10"/>
  <c r="B30" i="10"/>
  <c r="B28" i="14"/>
  <c r="B30" i="8"/>
  <c r="B70" i="8"/>
  <c r="E44" i="8"/>
  <c r="E7" i="32"/>
  <c r="C44" i="32" s="1"/>
  <c r="D5" i="14"/>
  <c r="C5" i="14"/>
  <c r="H68" i="11"/>
  <c r="B36" i="11"/>
  <c r="B74" i="11"/>
  <c r="D5" i="34"/>
  <c r="B31" i="34"/>
  <c r="B63" i="14"/>
  <c r="H64" i="12"/>
  <c r="B30" i="12"/>
  <c r="B69" i="12"/>
  <c r="B35" i="13"/>
  <c r="B70" i="13"/>
  <c r="B30" i="13"/>
  <c r="H60" i="8"/>
  <c r="G13" i="34"/>
  <c r="E5" i="14"/>
  <c r="H19" i="8"/>
  <c r="C5" i="19"/>
  <c r="L6" i="22"/>
  <c r="C40" i="8"/>
  <c r="D5" i="19"/>
  <c r="E5" i="18"/>
  <c r="B22" i="18"/>
  <c r="B53" i="18"/>
  <c r="C5" i="17"/>
  <c r="B23" i="17"/>
  <c r="B52" i="17"/>
  <c r="B26" i="16"/>
  <c r="B57" i="16"/>
  <c r="E5" i="37"/>
  <c r="B41" i="37"/>
  <c r="D34" i="54"/>
  <c r="B23" i="54"/>
  <c r="B52" i="54"/>
  <c r="D69" i="9"/>
  <c r="H63" i="8"/>
  <c r="B5" i="9"/>
  <c r="B73" i="9" s="1"/>
  <c r="E5" i="36"/>
  <c r="B41" i="36"/>
  <c r="C39" i="15"/>
  <c r="B28" i="15"/>
  <c r="B61" i="15"/>
  <c r="D5" i="53"/>
  <c r="B52" i="53"/>
  <c r="B23" i="53"/>
  <c r="H91" i="7"/>
  <c r="H94" i="7"/>
  <c r="C51" i="7"/>
  <c r="C6" i="7"/>
  <c r="B99" i="7"/>
  <c r="G87" i="7"/>
  <c r="D56" i="21"/>
  <c r="B135" i="9"/>
  <c r="C115" i="7"/>
  <c r="C19" i="3"/>
  <c r="B82" i="57"/>
  <c r="H71" i="11"/>
  <c r="E5" i="34"/>
  <c r="H21" i="12"/>
  <c r="B28" i="19"/>
  <c r="B57" i="19"/>
  <c r="D50" i="11"/>
  <c r="B76" i="57"/>
  <c r="H22" i="11"/>
  <c r="G63" i="11"/>
  <c r="H21" i="11"/>
  <c r="H27" i="11"/>
  <c r="H70" i="11"/>
  <c r="B41" i="11"/>
  <c r="E50" i="11"/>
  <c r="G19" i="11"/>
  <c r="C46" i="11"/>
  <c r="D5" i="12"/>
  <c r="B87" i="57"/>
  <c r="G60" i="11"/>
  <c r="H64" i="34"/>
  <c r="G12" i="11"/>
  <c r="D34" i="19"/>
  <c r="H66" i="11"/>
  <c r="B46" i="37"/>
  <c r="C84" i="11"/>
  <c r="D5" i="37"/>
  <c r="D37" i="16"/>
  <c r="H65" i="11"/>
  <c r="B77" i="8"/>
  <c r="E77" i="8"/>
  <c r="F81" i="8"/>
  <c r="B46" i="36"/>
  <c r="J55" i="21"/>
  <c r="E5" i="11"/>
  <c r="D5" i="11"/>
  <c r="D5" i="5"/>
  <c r="B58" i="18"/>
  <c r="A17" i="43"/>
  <c r="H67" i="11"/>
  <c r="B79" i="11"/>
  <c r="B57" i="53"/>
  <c r="H93" i="7"/>
  <c r="C5" i="35"/>
  <c r="B28" i="54"/>
  <c r="G90" i="7"/>
  <c r="G56" i="11"/>
  <c r="C5" i="53"/>
  <c r="C61" i="7"/>
  <c r="C50" i="11"/>
  <c r="E5" i="16"/>
  <c r="H26" i="11"/>
  <c r="D60" i="21"/>
  <c r="H24" i="11"/>
  <c r="C5" i="18"/>
  <c r="C37" i="16"/>
  <c r="D5" i="36"/>
  <c r="J60" i="21"/>
  <c r="J6" i="22"/>
  <c r="D33" i="18"/>
  <c r="B31" i="16"/>
  <c r="D5" i="35"/>
  <c r="H23" i="11"/>
  <c r="B62" i="16"/>
  <c r="D5" i="18"/>
  <c r="J41" i="21"/>
  <c r="C5" i="36"/>
  <c r="I9" i="23"/>
  <c r="D34" i="53"/>
  <c r="K18" i="39"/>
  <c r="D30" i="39"/>
  <c r="D31" i="39" s="1"/>
  <c r="K17" i="40"/>
  <c r="D29" i="42"/>
  <c r="D30" i="42" s="1"/>
  <c r="C34" i="13"/>
  <c r="D47" i="35"/>
  <c r="K17" i="41"/>
  <c r="D19" i="44"/>
  <c r="A8" i="43"/>
  <c r="F30" i="39"/>
  <c r="F31" i="39" s="1"/>
  <c r="E44" i="13"/>
  <c r="A60" i="43"/>
  <c r="F44" i="11"/>
  <c r="D42" i="3"/>
  <c r="J43" i="22"/>
  <c r="D65" i="21"/>
  <c r="C58" i="19"/>
  <c r="H59" i="13"/>
  <c r="D44" i="21"/>
  <c r="A9" i="43"/>
  <c r="A49" i="43"/>
  <c r="D25" i="14"/>
  <c r="F64" i="21"/>
  <c r="F29" i="40"/>
  <c r="F30" i="40" s="1"/>
  <c r="C47" i="37"/>
  <c r="E24" i="18"/>
  <c r="C25" i="14"/>
  <c r="B43" i="21"/>
  <c r="D65" i="15"/>
  <c r="A6" i="43"/>
  <c r="D43" i="35"/>
  <c r="D28" i="21"/>
  <c r="K28" i="42"/>
  <c r="C23" i="34"/>
  <c r="C35" i="34" s="1"/>
  <c r="D6" i="34" s="1"/>
  <c r="D23" i="34" s="1"/>
  <c r="D35" i="34" s="1"/>
  <c r="G19" i="34" s="1"/>
  <c r="J30" i="39"/>
  <c r="J31" i="39" s="1"/>
  <c r="D29" i="41"/>
  <c r="D30" i="41" s="1"/>
  <c r="J29" i="42"/>
  <c r="J30" i="42" s="1"/>
  <c r="D67" i="15"/>
  <c r="E30" i="15"/>
  <c r="G13" i="21"/>
  <c r="K28" i="40"/>
  <c r="D6" i="14"/>
  <c r="C30" i="14"/>
  <c r="B51" i="21"/>
  <c r="B51" i="70"/>
  <c r="F63" i="21"/>
  <c r="F63" i="70"/>
  <c r="D64" i="14"/>
  <c r="D29" i="70"/>
  <c r="E28" i="53"/>
  <c r="F40" i="70"/>
  <c r="D45" i="12"/>
  <c r="D61" i="12" s="1"/>
  <c r="D73" i="12" s="1"/>
  <c r="D100" i="12" s="1"/>
  <c r="B77" i="12" s="1"/>
  <c r="B29" i="40"/>
  <c r="C32" i="13"/>
  <c r="B26" i="70"/>
  <c r="D33" i="34"/>
  <c r="D16" i="70"/>
  <c r="D5" i="38"/>
  <c r="D49" i="3"/>
  <c r="C27" i="19"/>
  <c r="C16" i="18"/>
  <c r="C26" i="18" s="1"/>
  <c r="D6" i="18" s="1"/>
  <c r="D16" i="18" s="1"/>
  <c r="D26" i="18" s="1"/>
  <c r="C34" i="54"/>
  <c r="E34" i="54"/>
  <c r="C19" i="38"/>
  <c r="C45" i="38" s="1"/>
  <c r="G23" i="13"/>
  <c r="M43" i="22"/>
  <c r="C71" i="10"/>
  <c r="B21" i="70"/>
  <c r="D27" i="21"/>
  <c r="D27" i="70"/>
  <c r="D32" i="10"/>
  <c r="D20" i="70"/>
  <c r="C47" i="38"/>
  <c r="B45" i="21"/>
  <c r="B45" i="70"/>
  <c r="C29" i="17"/>
  <c r="B34" i="70"/>
  <c r="D29" i="14"/>
  <c r="F42" i="21"/>
  <c r="F42" i="70"/>
  <c r="C25" i="19"/>
  <c r="B38" i="70"/>
  <c r="B38" i="21"/>
  <c r="H57" i="13"/>
  <c r="H31" i="13"/>
  <c r="H29" i="13"/>
  <c r="H28" i="13"/>
  <c r="H71" i="13"/>
  <c r="H70" i="13"/>
  <c r="H32" i="13"/>
  <c r="H68" i="13"/>
  <c r="H67" i="13"/>
  <c r="D21" i="21"/>
  <c r="D21" i="70"/>
  <c r="E54" i="19"/>
  <c r="F39" i="70"/>
  <c r="D39" i="15"/>
  <c r="E5" i="38"/>
  <c r="D26" i="3"/>
  <c r="F45" i="21"/>
  <c r="H19" i="12"/>
  <c r="A56" i="43"/>
  <c r="A53" i="43"/>
  <c r="D25" i="54"/>
  <c r="F29" i="41"/>
  <c r="F30" i="41" s="1"/>
  <c r="C34" i="19"/>
  <c r="D25" i="21"/>
  <c r="D38" i="11"/>
  <c r="D22" i="70"/>
  <c r="D43" i="37"/>
  <c r="D46" i="70"/>
  <c r="D41" i="3"/>
  <c r="D28" i="18"/>
  <c r="D36" i="70"/>
  <c r="D36" i="3"/>
  <c r="E66" i="15"/>
  <c r="F31" i="70"/>
  <c r="C30" i="15"/>
  <c r="G66" i="34"/>
  <c r="B17" i="70"/>
  <c r="A32" i="44"/>
  <c r="G24" i="34"/>
  <c r="B16" i="70"/>
  <c r="B46" i="38"/>
  <c r="C5" i="38"/>
  <c r="D5" i="15"/>
  <c r="H62" i="13"/>
  <c r="H25" i="12"/>
  <c r="D6" i="17"/>
  <c r="G49" i="12"/>
  <c r="C40" i="12"/>
  <c r="C61" i="43"/>
  <c r="D16" i="21"/>
  <c r="E33" i="15"/>
  <c r="C45" i="53"/>
  <c r="D29" i="21"/>
  <c r="B33" i="21"/>
  <c r="D34" i="3"/>
  <c r="H102" i="7"/>
  <c r="H101" i="7"/>
  <c r="H99" i="7"/>
  <c r="H98" i="7"/>
  <c r="B18" i="21"/>
  <c r="B18" i="70"/>
  <c r="C72" i="13"/>
  <c r="B27" i="70"/>
  <c r="B65" i="9"/>
  <c r="B132" i="9" s="1"/>
  <c r="C65" i="9"/>
  <c r="C132" i="9" s="1"/>
  <c r="E46" i="38"/>
  <c r="F47" i="70"/>
  <c r="C29" i="19"/>
  <c r="C63" i="16"/>
  <c r="D63" i="15"/>
  <c r="D31" i="70"/>
  <c r="E57" i="54"/>
  <c r="F43" i="70"/>
  <c r="G9" i="34"/>
  <c r="H32" i="34"/>
  <c r="H30" i="34"/>
  <c r="H29" i="34"/>
  <c r="H75" i="34"/>
  <c r="H74" i="34"/>
  <c r="H72" i="34"/>
  <c r="H33" i="34"/>
  <c r="H71" i="34"/>
  <c r="G23" i="10"/>
  <c r="B20" i="70"/>
  <c r="D32" i="12"/>
  <c r="D24" i="70"/>
  <c r="E35" i="8"/>
  <c r="F18" i="21"/>
  <c r="E74" i="12"/>
  <c r="B33" i="15"/>
  <c r="D42" i="21"/>
  <c r="H60" i="13"/>
  <c r="K19" i="39"/>
  <c r="A15" i="43"/>
  <c r="D5" i="54"/>
  <c r="D99" i="34"/>
  <c r="D60" i="14"/>
  <c r="F61" i="21"/>
  <c r="F61" i="70"/>
  <c r="G51" i="8"/>
  <c r="H31" i="8"/>
  <c r="H32" i="8"/>
  <c r="H29" i="8"/>
  <c r="H28" i="8"/>
  <c r="H74" i="8"/>
  <c r="H73" i="8"/>
  <c r="H71" i="8"/>
  <c r="H70" i="8"/>
  <c r="D76" i="11"/>
  <c r="D23" i="70"/>
  <c r="E62" i="16"/>
  <c r="F33" i="70"/>
  <c r="F28" i="21"/>
  <c r="B41" i="21"/>
  <c r="B41" i="70"/>
  <c r="B65" i="21"/>
  <c r="B6" i="5"/>
  <c r="B66" i="15"/>
  <c r="C22" i="12"/>
  <c r="C34" i="12" s="1"/>
  <c r="K29" i="39"/>
  <c r="B48" i="70" s="1"/>
  <c r="H23" i="13"/>
  <c r="A41" i="43"/>
  <c r="E25" i="53"/>
  <c r="C30" i="53"/>
  <c r="D24" i="21"/>
  <c r="F35" i="21"/>
  <c r="E57" i="19"/>
  <c r="K43" i="22"/>
  <c r="D7" i="32"/>
  <c r="F62" i="21"/>
  <c r="F62" i="70"/>
  <c r="F65" i="70" s="1"/>
  <c r="H24" i="10"/>
  <c r="H31" i="10"/>
  <c r="H29" i="10"/>
  <c r="H32" i="10"/>
  <c r="H28" i="10"/>
  <c r="H74" i="10"/>
  <c r="H73" i="10"/>
  <c r="H71" i="10"/>
  <c r="H70" i="10"/>
  <c r="G63" i="12"/>
  <c r="B25" i="70"/>
  <c r="E28" i="17"/>
  <c r="B32" i="21"/>
  <c r="B32" i="70"/>
  <c r="D29" i="53"/>
  <c r="D41" i="21"/>
  <c r="D41" i="70"/>
  <c r="B76" i="12"/>
  <c r="B49" i="21"/>
  <c r="B49" i="70"/>
  <c r="B35" i="12"/>
  <c r="H32" i="12"/>
  <c r="H30" i="12"/>
  <c r="H29" i="12"/>
  <c r="H33" i="12"/>
  <c r="H72" i="12"/>
  <c r="H71" i="12"/>
  <c r="H69" i="12"/>
  <c r="H68" i="12"/>
  <c r="C61" i="16"/>
  <c r="D38" i="16" s="1"/>
  <c r="D48" i="16" s="1"/>
  <c r="D61" i="16" s="1"/>
  <c r="C5" i="15"/>
  <c r="C44" i="12"/>
  <c r="E71" i="12"/>
  <c r="A22" i="43"/>
  <c r="H21" i="13"/>
  <c r="F40" i="21"/>
  <c r="D43" i="36"/>
  <c r="E57" i="17"/>
  <c r="E43" i="36"/>
  <c r="G43" i="22"/>
  <c r="J29" i="41"/>
  <c r="J30" i="41" s="1"/>
  <c r="H36" i="11"/>
  <c r="H34" i="11"/>
  <c r="H33" i="11"/>
  <c r="H79" i="11"/>
  <c r="H37" i="11"/>
  <c r="H78" i="11"/>
  <c r="H76" i="11"/>
  <c r="H75" i="11"/>
  <c r="B23" i="21"/>
  <c r="B23" i="70"/>
  <c r="D19" i="21"/>
  <c r="D19" i="70"/>
  <c r="D29" i="19"/>
  <c r="D38" i="70"/>
  <c r="C59" i="16"/>
  <c r="B131" i="9"/>
  <c r="B81" i="11"/>
  <c r="E37" i="8"/>
  <c r="D22" i="3"/>
  <c r="E75" i="13"/>
  <c r="F27" i="70"/>
  <c r="E35" i="13"/>
  <c r="F26" i="70"/>
  <c r="D29" i="3"/>
  <c r="F25" i="21"/>
  <c r="F80" i="12"/>
  <c r="F25" i="70"/>
  <c r="E37" i="12"/>
  <c r="F24" i="70"/>
  <c r="E32" i="12"/>
  <c r="E43" i="11"/>
  <c r="F22" i="70"/>
  <c r="E71" i="10"/>
  <c r="F21" i="70"/>
  <c r="E32" i="10"/>
  <c r="F20" i="70"/>
  <c r="F19" i="21"/>
  <c r="F39" i="8"/>
  <c r="F18" i="70"/>
  <c r="E73" i="34"/>
  <c r="F17" i="70"/>
  <c r="E33" i="34"/>
  <c r="F16" i="70"/>
  <c r="E19" i="44"/>
  <c r="D12" i="71"/>
  <c r="F60" i="3"/>
  <c r="E10" i="3"/>
  <c r="B74" i="3"/>
  <c r="A8" i="3"/>
  <c r="A7" i="3"/>
  <c r="C62" i="13"/>
  <c r="C74" i="13" s="1"/>
  <c r="D45" i="13" s="1"/>
  <c r="D62" i="13" s="1"/>
  <c r="D74" i="13" s="1"/>
  <c r="D30" i="3"/>
  <c r="F26" i="21"/>
  <c r="E37" i="13"/>
  <c r="E32" i="13"/>
  <c r="B26" i="21"/>
  <c r="E72" i="13"/>
  <c r="E77" i="13"/>
  <c r="B75" i="13"/>
  <c r="G9" i="13"/>
  <c r="E5" i="13"/>
  <c r="C80" i="13"/>
  <c r="B27" i="21"/>
  <c r="H24" i="13"/>
  <c r="G13" i="13"/>
  <c r="G52" i="13"/>
  <c r="C20" i="13"/>
  <c r="C5" i="13"/>
  <c r="H58" i="13"/>
  <c r="H63" i="13"/>
  <c r="G62" i="13"/>
  <c r="H18" i="13"/>
  <c r="G16" i="13"/>
  <c r="C40" i="13"/>
  <c r="C44" i="13"/>
  <c r="D5" i="13"/>
  <c r="H19" i="13"/>
  <c r="G55" i="13"/>
  <c r="G48" i="13"/>
  <c r="D44" i="13"/>
  <c r="C98" i="13"/>
  <c r="B37" i="13" s="1"/>
  <c r="D31" i="3"/>
  <c r="H20" i="13"/>
  <c r="C98" i="12"/>
  <c r="D6" i="12"/>
  <c r="D22" i="12" s="1"/>
  <c r="D34" i="12" s="1"/>
  <c r="D98" i="12" s="1"/>
  <c r="H22" i="12"/>
  <c r="G10" i="12"/>
  <c r="C79" i="12"/>
  <c r="F38" i="12"/>
  <c r="H58" i="12"/>
  <c r="C5" i="12"/>
  <c r="H59" i="12"/>
  <c r="H63" i="12"/>
  <c r="H20" i="12"/>
  <c r="E44" i="12"/>
  <c r="G17" i="12"/>
  <c r="H61" i="12"/>
  <c r="E5" i="12"/>
  <c r="B74" i="12"/>
  <c r="H60" i="12"/>
  <c r="G56" i="12"/>
  <c r="H24" i="12"/>
  <c r="G53" i="12"/>
  <c r="F22" i="21"/>
  <c r="E41" i="11"/>
  <c r="G65" i="10"/>
  <c r="B21" i="21"/>
  <c r="C61" i="10"/>
  <c r="C73" i="10" s="1"/>
  <c r="F38" i="10"/>
  <c r="D24" i="3"/>
  <c r="B76" i="10"/>
  <c r="E5" i="10"/>
  <c r="C22" i="10"/>
  <c r="C34" i="10" s="1"/>
  <c r="D6" i="10" s="1"/>
  <c r="D22" i="10" s="1"/>
  <c r="D34" i="10" s="1"/>
  <c r="C97" i="10"/>
  <c r="B37" i="10" s="1"/>
  <c r="G51" i="10"/>
  <c r="E76" i="10"/>
  <c r="H23" i="10"/>
  <c r="H62" i="10"/>
  <c r="D71" i="10"/>
  <c r="C5" i="10"/>
  <c r="C32" i="10"/>
  <c r="G58" i="10"/>
  <c r="D44" i="10"/>
  <c r="H21" i="10"/>
  <c r="F80" i="10"/>
  <c r="H63" i="10"/>
  <c r="H66" i="10"/>
  <c r="D25" i="3"/>
  <c r="B74" i="10"/>
  <c r="B20" i="21"/>
  <c r="C40" i="10"/>
  <c r="B37" i="8"/>
  <c r="C21" i="8"/>
  <c r="C34" i="8" s="1"/>
  <c r="C5" i="34"/>
  <c r="C81" i="34"/>
  <c r="H66" i="34"/>
  <c r="E45" i="34"/>
  <c r="E78" i="34"/>
  <c r="D45" i="34"/>
  <c r="E38" i="34"/>
  <c r="C52" i="21"/>
  <c r="B76" i="34"/>
  <c r="G52" i="34"/>
  <c r="G56" i="34"/>
  <c r="E20" i="57"/>
  <c r="E27" i="57"/>
  <c r="F17" i="21"/>
  <c r="E76" i="34"/>
  <c r="F80" i="34"/>
  <c r="B17" i="21"/>
  <c r="C73" i="34"/>
  <c r="D21" i="3"/>
  <c r="G17" i="34"/>
  <c r="H25" i="34"/>
  <c r="H19" i="34"/>
  <c r="H20" i="34"/>
  <c r="H22" i="34"/>
  <c r="H21" i="34"/>
  <c r="C101" i="34"/>
  <c r="D80" i="7"/>
  <c r="D102" i="7" s="1"/>
  <c r="D15" i="21" s="1"/>
  <c r="E52" i="21"/>
  <c r="E26" i="57"/>
  <c r="J47" i="21"/>
  <c r="F12" i="21"/>
  <c r="C33" i="18"/>
  <c r="E33" i="18"/>
  <c r="H65" i="8"/>
  <c r="G55" i="8"/>
  <c r="G58" i="8"/>
  <c r="D44" i="8"/>
  <c r="E5" i="8"/>
  <c r="J63" i="21"/>
  <c r="J48" i="21"/>
  <c r="B75" i="8"/>
  <c r="D17" i="21"/>
  <c r="D73" i="34"/>
  <c r="B29" i="21"/>
  <c r="C60" i="14"/>
  <c r="C62" i="14"/>
  <c r="C64" i="14"/>
  <c r="D131" i="9"/>
  <c r="K17" i="42"/>
  <c r="K30" i="42" s="1"/>
  <c r="H18" i="42"/>
  <c r="C38" i="11"/>
  <c r="B22" i="21"/>
  <c r="C102" i="11"/>
  <c r="B43" i="11" s="1"/>
  <c r="G26" i="11"/>
  <c r="D18" i="21"/>
  <c r="D32" i="8"/>
  <c r="D34" i="21"/>
  <c r="D25" i="17"/>
  <c r="D29" i="17"/>
  <c r="C75" i="7"/>
  <c r="C80" i="7" s="1"/>
  <c r="C102" i="7" s="1"/>
  <c r="B15" i="70" s="1"/>
  <c r="D6" i="54"/>
  <c r="D16" i="54" s="1"/>
  <c r="D27" i="54" s="1"/>
  <c r="C30" i="54"/>
  <c r="E21" i="13"/>
  <c r="B30" i="40"/>
  <c r="K29" i="40"/>
  <c r="D101" i="34"/>
  <c r="C54" i="53"/>
  <c r="C30" i="19"/>
  <c r="D6" i="19"/>
  <c r="D16" i="19" s="1"/>
  <c r="D27" i="19" s="1"/>
  <c r="E49" i="13"/>
  <c r="E61" i="13" s="1"/>
  <c r="C43" i="19"/>
  <c r="C45" i="19"/>
  <c r="C56" i="19" s="1"/>
  <c r="C100" i="10"/>
  <c r="D45" i="10"/>
  <c r="D61" i="10" s="1"/>
  <c r="D73" i="10" s="1"/>
  <c r="E6" i="53"/>
  <c r="E16" i="53" s="1"/>
  <c r="E27" i="53" s="1"/>
  <c r="E29" i="53" s="1"/>
  <c r="D30" i="53"/>
  <c r="K18" i="41"/>
  <c r="B29" i="41"/>
  <c r="K18" i="40"/>
  <c r="C48" i="37"/>
  <c r="D6" i="37"/>
  <c r="D19" i="37" s="1"/>
  <c r="D45" i="37" s="1"/>
  <c r="D6" i="15"/>
  <c r="D16" i="15" s="1"/>
  <c r="D32" i="15" s="1"/>
  <c r="C48" i="36"/>
  <c r="D6" i="36"/>
  <c r="D19" i="36" s="1"/>
  <c r="D45" i="36" s="1"/>
  <c r="D6" i="13"/>
  <c r="D22" i="13" s="1"/>
  <c r="D34" i="13" s="1"/>
  <c r="C99" i="13"/>
  <c r="D47" i="38"/>
  <c r="D47" i="21"/>
  <c r="D43" i="38"/>
  <c r="E46" i="35"/>
  <c r="D48" i="3"/>
  <c r="E43" i="35"/>
  <c r="D5" i="44"/>
  <c r="A22" i="44"/>
  <c r="C5" i="44"/>
  <c r="E5" i="44"/>
  <c r="B5" i="44"/>
  <c r="C58" i="53"/>
  <c r="C40" i="11"/>
  <c r="E60" i="12"/>
  <c r="E34" i="17"/>
  <c r="B28" i="17"/>
  <c r="C34" i="17"/>
  <c r="D5" i="17"/>
  <c r="D34" i="17"/>
  <c r="E5" i="17"/>
  <c r="B57" i="17"/>
  <c r="H65" i="10"/>
  <c r="H18" i="10"/>
  <c r="H61" i="10"/>
  <c r="G9" i="10"/>
  <c r="E44" i="10"/>
  <c r="B35" i="10"/>
  <c r="G16" i="10"/>
  <c r="G13" i="10"/>
  <c r="H60" i="10"/>
  <c r="C44" i="10"/>
  <c r="D5" i="10"/>
  <c r="H20" i="10"/>
  <c r="G55" i="10"/>
  <c r="C79" i="10"/>
  <c r="H19" i="10"/>
  <c r="E69" i="7"/>
  <c r="E80" i="7" s="1"/>
  <c r="E102" i="7" s="1"/>
  <c r="F15" i="70" s="1"/>
  <c r="D65" i="9"/>
  <c r="D132" i="9" s="1"/>
  <c r="C20" i="5"/>
  <c r="D45" i="3"/>
  <c r="E57" i="53"/>
  <c r="C25" i="54"/>
  <c r="C29" i="54"/>
  <c r="C33" i="34"/>
  <c r="C99" i="34"/>
  <c r="B16" i="21"/>
  <c r="E21" i="12"/>
  <c r="D15" i="14"/>
  <c r="D14" i="14" s="1"/>
  <c r="F16" i="21"/>
  <c r="E36" i="34"/>
  <c r="F38" i="34"/>
  <c r="D20" i="3"/>
  <c r="G65" i="8"/>
  <c r="C74" i="8"/>
  <c r="C72" i="8"/>
  <c r="C58" i="17"/>
  <c r="B35" i="21"/>
  <c r="C54" i="17"/>
  <c r="C33" i="16"/>
  <c r="D6" i="16"/>
  <c r="D16" i="16" s="1"/>
  <c r="D30" i="16" s="1"/>
  <c r="C16" i="35"/>
  <c r="C18" i="35"/>
  <c r="C45" i="35" s="1"/>
  <c r="D59" i="18"/>
  <c r="D55" i="18"/>
  <c r="C61" i="34"/>
  <c r="C63" i="34"/>
  <c r="C75" i="34" s="1"/>
  <c r="E12" i="34"/>
  <c r="E22" i="34" s="1"/>
  <c r="G20" i="34" s="1"/>
  <c r="F21" i="21"/>
  <c r="E74" i="10"/>
  <c r="C66" i="11"/>
  <c r="C78" i="11" s="1"/>
  <c r="C64" i="11"/>
  <c r="F38" i="21"/>
  <c r="E25" i="19"/>
  <c r="D16" i="17"/>
  <c r="D27" i="17" s="1"/>
  <c r="C56" i="53"/>
  <c r="C42" i="18"/>
  <c r="C44" i="18"/>
  <c r="C57" i="18" s="1"/>
  <c r="F24" i="21"/>
  <c r="E35" i="12"/>
  <c r="D61" i="7"/>
  <c r="D6" i="7"/>
  <c r="B104" i="7"/>
  <c r="E61" i="7"/>
  <c r="E6" i="7"/>
  <c r="G83" i="7"/>
  <c r="C45" i="54"/>
  <c r="C56" i="54" s="1"/>
  <c r="C43" i="54"/>
  <c r="M43" i="21"/>
  <c r="M62" i="21"/>
  <c r="C43" i="17"/>
  <c r="C45" i="17"/>
  <c r="C56" i="17" s="1"/>
  <c r="K28" i="41"/>
  <c r="C24" i="18"/>
  <c r="B36" i="21"/>
  <c r="D30" i="21"/>
  <c r="D30" i="15"/>
  <c r="D40" i="21"/>
  <c r="D25" i="53"/>
  <c r="H30" i="39"/>
  <c r="H31" i="39" s="1"/>
  <c r="D45" i="21"/>
  <c r="D47" i="36"/>
  <c r="C59" i="18"/>
  <c r="C34" i="15"/>
  <c r="F41" i="32"/>
  <c r="E39" i="15"/>
  <c r="F20" i="21"/>
  <c r="E37" i="10"/>
  <c r="E35" i="10"/>
  <c r="A14" i="43"/>
  <c r="A7" i="43"/>
  <c r="B61" i="43"/>
  <c r="A55" i="43"/>
  <c r="A39" i="43"/>
  <c r="E46" i="37"/>
  <c r="D50" i="3"/>
  <c r="D63" i="16"/>
  <c r="D33" i="21"/>
  <c r="D34" i="15"/>
  <c r="C29" i="14"/>
  <c r="B28" i="21"/>
  <c r="C131" i="9"/>
  <c r="C133" i="9" s="1"/>
  <c r="B57" i="54"/>
  <c r="E5" i="54"/>
  <c r="D62" i="34"/>
  <c r="D61" i="34" s="1"/>
  <c r="B29" i="42"/>
  <c r="D44" i="12"/>
  <c r="G14" i="12"/>
  <c r="D26" i="21"/>
  <c r="D32" i="13"/>
  <c r="D54" i="54"/>
  <c r="D58" i="54"/>
  <c r="G59" i="34"/>
  <c r="H61" i="34"/>
  <c r="B36" i="34"/>
  <c r="H67" i="34"/>
  <c r="H62" i="34"/>
  <c r="B89" i="57"/>
  <c r="B44" i="57"/>
  <c r="D25" i="19"/>
  <c r="F54" i="70" l="1"/>
  <c r="F54" i="21"/>
  <c r="K30" i="40"/>
  <c r="B48" i="21"/>
  <c r="K31" i="39"/>
  <c r="C29" i="18"/>
  <c r="C64" i="16"/>
  <c r="B133" i="9"/>
  <c r="F65" i="21"/>
  <c r="E45" i="12"/>
  <c r="G58" i="12"/>
  <c r="D100" i="34"/>
  <c r="B38" i="34"/>
  <c r="C100" i="34"/>
  <c r="E6" i="34"/>
  <c r="E23" i="34" s="1"/>
  <c r="E39" i="34" s="1"/>
  <c r="E41" i="34" s="1"/>
  <c r="E40" i="15"/>
  <c r="E50" i="15" s="1"/>
  <c r="E65" i="15" s="1"/>
  <c r="E67" i="15" s="1"/>
  <c r="D68" i="15"/>
  <c r="D6" i="38"/>
  <c r="D19" i="38" s="1"/>
  <c r="D45" i="38" s="1"/>
  <c r="C50" i="38"/>
  <c r="F52" i="70"/>
  <c r="F55" i="70" s="1"/>
  <c r="E6" i="12"/>
  <c r="E22" i="12" s="1"/>
  <c r="E38" i="12" s="1"/>
  <c r="E40" i="12" s="1"/>
  <c r="G19" i="12"/>
  <c r="D101" i="7"/>
  <c r="D15" i="70"/>
  <c r="D52" i="70" s="1"/>
  <c r="D55" i="70" s="1"/>
  <c r="D127" i="7"/>
  <c r="B50" i="21"/>
  <c r="B50" i="70"/>
  <c r="B52" i="70" s="1"/>
  <c r="B55" i="70" s="1"/>
  <c r="D101" i="13"/>
  <c r="G57" i="13"/>
  <c r="E45" i="13"/>
  <c r="E62" i="13" s="1"/>
  <c r="E78" i="13" s="1"/>
  <c r="E80" i="13" s="1"/>
  <c r="C101" i="13"/>
  <c r="B38" i="12"/>
  <c r="C98" i="10"/>
  <c r="G75" i="34"/>
  <c r="G71" i="13"/>
  <c r="G72" i="12"/>
  <c r="G79" i="11"/>
  <c r="G74" i="10"/>
  <c r="G74" i="8"/>
  <c r="G32" i="13"/>
  <c r="G33" i="12"/>
  <c r="G37" i="11"/>
  <c r="G32" i="10"/>
  <c r="G32" i="8"/>
  <c r="G29" i="8"/>
  <c r="D6" i="8"/>
  <c r="D21" i="8" s="1"/>
  <c r="D34" i="8" s="1"/>
  <c r="C100" i="8"/>
  <c r="B78" i="34"/>
  <c r="M47" i="21"/>
  <c r="M55" i="21" s="1"/>
  <c r="G33" i="34"/>
  <c r="G102" i="7"/>
  <c r="C127" i="7"/>
  <c r="C101" i="7"/>
  <c r="C103" i="7"/>
  <c r="B15" i="21"/>
  <c r="B52" i="21" s="1"/>
  <c r="B55" i="21" s="1"/>
  <c r="D52" i="21"/>
  <c r="D55" i="21" s="1"/>
  <c r="C59" i="54"/>
  <c r="D35" i="54"/>
  <c r="D45" i="54" s="1"/>
  <c r="D56" i="54" s="1"/>
  <c r="D6" i="35"/>
  <c r="D18" i="35" s="1"/>
  <c r="D45" i="35" s="1"/>
  <c r="C48" i="35"/>
  <c r="D35" i="19"/>
  <c r="D45" i="19" s="1"/>
  <c r="D56" i="19" s="1"/>
  <c r="C59" i="19"/>
  <c r="D30" i="54"/>
  <c r="E6" i="54"/>
  <c r="E16" i="54" s="1"/>
  <c r="E27" i="54" s="1"/>
  <c r="E29" i="54" s="1"/>
  <c r="C65" i="14"/>
  <c r="D35" i="14"/>
  <c r="D46" i="14" s="1"/>
  <c r="D62" i="14" s="1"/>
  <c r="B30" i="41"/>
  <c r="K29" i="41"/>
  <c r="D35" i="17"/>
  <c r="D45" i="17" s="1"/>
  <c r="D56" i="17" s="1"/>
  <c r="C59" i="17"/>
  <c r="G59" i="12"/>
  <c r="E6" i="13"/>
  <c r="E22" i="13" s="1"/>
  <c r="E38" i="13" s="1"/>
  <c r="E40" i="13" s="1"/>
  <c r="D99" i="13"/>
  <c r="B38" i="13" s="1"/>
  <c r="G18" i="13"/>
  <c r="G58" i="13"/>
  <c r="D34" i="18"/>
  <c r="D44" i="18" s="1"/>
  <c r="D57" i="18" s="1"/>
  <c r="C60" i="18"/>
  <c r="C102" i="34"/>
  <c r="D46" i="34"/>
  <c r="D63" i="34" s="1"/>
  <c r="D75" i="34" s="1"/>
  <c r="D48" i="36"/>
  <c r="E6" i="36"/>
  <c r="E19" i="36" s="1"/>
  <c r="E45" i="36" s="1"/>
  <c r="E47" i="36" s="1"/>
  <c r="D35" i="15"/>
  <c r="E6" i="15"/>
  <c r="E16" i="15" s="1"/>
  <c r="E32" i="15" s="1"/>
  <c r="E34" i="15" s="1"/>
  <c r="E6" i="19"/>
  <c r="E16" i="19" s="1"/>
  <c r="E27" i="19" s="1"/>
  <c r="E29" i="19" s="1"/>
  <c r="D30" i="19"/>
  <c r="K30" i="41"/>
  <c r="D45" i="8"/>
  <c r="D62" i="8" s="1"/>
  <c r="D74" i="8" s="1"/>
  <c r="C102" i="8"/>
  <c r="H29" i="42"/>
  <c r="H30" i="42" s="1"/>
  <c r="K18" i="42"/>
  <c r="D30" i="17"/>
  <c r="E6" i="17"/>
  <c r="E16" i="17" s="1"/>
  <c r="E27" i="17" s="1"/>
  <c r="E29" i="17" s="1"/>
  <c r="D51" i="11"/>
  <c r="D66" i="11" s="1"/>
  <c r="D78" i="11" s="1"/>
  <c r="C105" i="11"/>
  <c r="D64" i="16"/>
  <c r="E38" i="16"/>
  <c r="E48" i="16" s="1"/>
  <c r="E61" i="16" s="1"/>
  <c r="E63" i="16" s="1"/>
  <c r="E6" i="37"/>
  <c r="E19" i="37" s="1"/>
  <c r="E45" i="37" s="1"/>
  <c r="E47" i="37" s="1"/>
  <c r="D48" i="37"/>
  <c r="G60" i="10"/>
  <c r="E45" i="10"/>
  <c r="D100" i="10"/>
  <c r="B77" i="10" s="1"/>
  <c r="E61" i="12"/>
  <c r="E77" i="12" s="1"/>
  <c r="E79" i="12" s="1"/>
  <c r="D133" i="9"/>
  <c r="D33" i="16"/>
  <c r="E6" i="16"/>
  <c r="E16" i="16" s="1"/>
  <c r="E30" i="16" s="1"/>
  <c r="E32" i="16" s="1"/>
  <c r="B30" i="42"/>
  <c r="D29" i="18"/>
  <c r="E6" i="18"/>
  <c r="E16" i="18" s="1"/>
  <c r="E26" i="18" s="1"/>
  <c r="E28" i="18" s="1"/>
  <c r="G32" i="5"/>
  <c r="G15" i="5" s="1"/>
  <c r="E58" i="11" s="1"/>
  <c r="F31" i="5"/>
  <c r="F15" i="5" s="1"/>
  <c r="E57" i="11" s="1"/>
  <c r="E30" i="5"/>
  <c r="E15" i="5" s="1"/>
  <c r="E56" i="11" s="1"/>
  <c r="H33" i="5"/>
  <c r="H15" i="5" s="1"/>
  <c r="D29" i="5"/>
  <c r="D15" i="5" s="1"/>
  <c r="E55" i="11" s="1"/>
  <c r="F110" i="7"/>
  <c r="E104" i="7"/>
  <c r="F15" i="21"/>
  <c r="F52" i="21" s="1"/>
  <c r="D19" i="3"/>
  <c r="D56" i="3" s="1"/>
  <c r="E106" i="7"/>
  <c r="E101" i="7"/>
  <c r="D35" i="53"/>
  <c r="D45" i="53" s="1"/>
  <c r="D56" i="53" s="1"/>
  <c r="C59" i="53"/>
  <c r="K30" i="39"/>
  <c r="G20" i="12"/>
  <c r="D6" i="11"/>
  <c r="D26" i="11" s="1"/>
  <c r="D40" i="11" s="1"/>
  <c r="C103" i="11"/>
  <c r="E6" i="10"/>
  <c r="D98" i="10"/>
  <c r="G18" i="10"/>
  <c r="D16" i="14"/>
  <c r="D27" i="14" s="1"/>
  <c r="F55" i="21" l="1"/>
  <c r="E65" i="11"/>
  <c r="G66" i="11" s="1"/>
  <c r="D13" i="5"/>
  <c r="E49" i="10" s="1"/>
  <c r="D14" i="5"/>
  <c r="E10" i="11" s="1"/>
  <c r="H13" i="5"/>
  <c r="E53" i="10" s="1"/>
  <c r="H14" i="5"/>
  <c r="E13" i="5"/>
  <c r="E50" i="10" s="1"/>
  <c r="E14" i="5"/>
  <c r="F13" i="5"/>
  <c r="E51" i="10" s="1"/>
  <c r="F14" i="5"/>
  <c r="E12" i="11" s="1"/>
  <c r="G13" i="5"/>
  <c r="E52" i="10" s="1"/>
  <c r="G14" i="5"/>
  <c r="E13" i="11" s="1"/>
  <c r="E60" i="10"/>
  <c r="G61" i="10" s="1"/>
  <c r="G11" i="5"/>
  <c r="E52" i="8" s="1"/>
  <c r="G12" i="5"/>
  <c r="E13" i="10" s="1"/>
  <c r="D11" i="5"/>
  <c r="E49" i="8" s="1"/>
  <c r="D12" i="5"/>
  <c r="E10" i="10" s="1"/>
  <c r="H11" i="5"/>
  <c r="E53" i="8" s="1"/>
  <c r="H12" i="5"/>
  <c r="E14" i="10" s="1"/>
  <c r="E11" i="5"/>
  <c r="E50" i="8" s="1"/>
  <c r="E12" i="5"/>
  <c r="E11" i="10" s="1"/>
  <c r="F11" i="5"/>
  <c r="E51" i="8" s="1"/>
  <c r="F12" i="5"/>
  <c r="E12" i="10" s="1"/>
  <c r="D9" i="5"/>
  <c r="E50" i="34" s="1"/>
  <c r="D10" i="5"/>
  <c r="E10" i="8" s="1"/>
  <c r="E9" i="5"/>
  <c r="E51" i="34" s="1"/>
  <c r="G18" i="57" s="1"/>
  <c r="E10" i="5"/>
  <c r="E11" i="8" s="1"/>
  <c r="F9" i="5"/>
  <c r="F10" i="5"/>
  <c r="E12" i="8" s="1"/>
  <c r="H9" i="5"/>
  <c r="H10" i="5"/>
  <c r="G9" i="5"/>
  <c r="E53" i="34" s="1"/>
  <c r="G10" i="5"/>
  <c r="E13" i="8" s="1"/>
  <c r="E54" i="34"/>
  <c r="B39" i="34"/>
  <c r="D50" i="38"/>
  <c r="E6" i="38"/>
  <c r="E19" i="38" s="1"/>
  <c r="E45" i="38" s="1"/>
  <c r="E47" i="38" s="1"/>
  <c r="E60" i="13"/>
  <c r="H27" i="70"/>
  <c r="G27" i="70"/>
  <c r="E20" i="13"/>
  <c r="G19" i="13" s="1"/>
  <c r="G26" i="70"/>
  <c r="H26" i="70" s="1"/>
  <c r="G25" i="70"/>
  <c r="H25" i="70" s="1"/>
  <c r="E20" i="12"/>
  <c r="G24" i="70"/>
  <c r="H24" i="70" s="1"/>
  <c r="B38" i="10"/>
  <c r="G16" i="70"/>
  <c r="H16" i="70" s="1"/>
  <c r="B106" i="7"/>
  <c r="B78" i="13"/>
  <c r="G17" i="8"/>
  <c r="E6" i="8"/>
  <c r="D100" i="8"/>
  <c r="B38" i="8" s="1"/>
  <c r="E21" i="34"/>
  <c r="G21" i="34"/>
  <c r="G22" i="34" s="1"/>
  <c r="G25" i="34" s="1"/>
  <c r="D60" i="18"/>
  <c r="E34" i="18"/>
  <c r="E44" i="18" s="1"/>
  <c r="E57" i="18" s="1"/>
  <c r="E59" i="18" s="1"/>
  <c r="G26" i="21"/>
  <c r="H26" i="21" s="1"/>
  <c r="G28" i="13" s="1"/>
  <c r="E30" i="3"/>
  <c r="G20" i="13"/>
  <c r="K20" i="13" s="1"/>
  <c r="E35" i="19"/>
  <c r="E45" i="19" s="1"/>
  <c r="E56" i="19" s="1"/>
  <c r="E58" i="19" s="1"/>
  <c r="D59" i="19"/>
  <c r="D105" i="11"/>
  <c r="B82" i="11" s="1"/>
  <c r="E51" i="11"/>
  <c r="E66" i="11" s="1"/>
  <c r="E82" i="11" s="1"/>
  <c r="E84" i="11" s="1"/>
  <c r="G65" i="11"/>
  <c r="H24" i="21"/>
  <c r="G29" i="12" s="1"/>
  <c r="G21" i="12"/>
  <c r="K21" i="12" s="1"/>
  <c r="G24" i="21"/>
  <c r="E28" i="3"/>
  <c r="K29" i="42"/>
  <c r="E29" i="3"/>
  <c r="G25" i="21"/>
  <c r="H25" i="21" s="1"/>
  <c r="G68" i="12" s="1"/>
  <c r="G60" i="12"/>
  <c r="K63" i="12" s="1"/>
  <c r="E59" i="12"/>
  <c r="E20" i="3"/>
  <c r="G16" i="21"/>
  <c r="H16" i="21"/>
  <c r="G29" i="34" s="1"/>
  <c r="E31" i="3"/>
  <c r="G59" i="13"/>
  <c r="G27" i="21"/>
  <c r="H27" i="21" s="1"/>
  <c r="G67" i="13" s="1"/>
  <c r="D65" i="14"/>
  <c r="E35" i="14"/>
  <c r="E46" i="14" s="1"/>
  <c r="E62" i="14" s="1"/>
  <c r="E64" i="14" s="1"/>
  <c r="D59" i="54"/>
  <c r="E35" i="54"/>
  <c r="E45" i="54" s="1"/>
  <c r="E56" i="54" s="1"/>
  <c r="E58" i="54" s="1"/>
  <c r="C128" i="7"/>
  <c r="D7" i="7"/>
  <c r="D53" i="7" s="1"/>
  <c r="D102" i="8"/>
  <c r="B78" i="8" s="1"/>
  <c r="E45" i="8"/>
  <c r="G60" i="8"/>
  <c r="E35" i="17"/>
  <c r="E45" i="17" s="1"/>
  <c r="E56" i="17" s="1"/>
  <c r="E58" i="17" s="1"/>
  <c r="D59" i="17"/>
  <c r="E6" i="14"/>
  <c r="E16" i="14" s="1"/>
  <c r="E27" i="14" s="1"/>
  <c r="E29" i="14" s="1"/>
  <c r="D30" i="14"/>
  <c r="D59" i="53"/>
  <c r="E35" i="53"/>
  <c r="E45" i="53" s="1"/>
  <c r="E56" i="53" s="1"/>
  <c r="E58" i="53" s="1"/>
  <c r="E6" i="35"/>
  <c r="E18" i="35" s="1"/>
  <c r="E45" i="35" s="1"/>
  <c r="E47" i="35" s="1"/>
  <c r="D48" i="35"/>
  <c r="G21" i="11"/>
  <c r="D103" i="11"/>
  <c r="B44" i="11" s="1"/>
  <c r="E6" i="11"/>
  <c r="G61" i="34"/>
  <c r="E46" i="34"/>
  <c r="D102" i="34"/>
  <c r="B79" i="34" s="1"/>
  <c r="E61" i="10" l="1"/>
  <c r="E77" i="10" s="1"/>
  <c r="E79" i="10" s="1"/>
  <c r="G62" i="10" s="1"/>
  <c r="K62" i="10" s="1"/>
  <c r="E7" i="5"/>
  <c r="H7" i="5"/>
  <c r="D7" i="5"/>
  <c r="E25" i="11"/>
  <c r="G22" i="11" s="1"/>
  <c r="F7" i="5"/>
  <c r="E52" i="34"/>
  <c r="G19" i="57" s="1"/>
  <c r="G7" i="5"/>
  <c r="E61" i="8"/>
  <c r="G61" i="8" s="1"/>
  <c r="E21" i="10"/>
  <c r="E20" i="8"/>
  <c r="G18" i="8" s="1"/>
  <c r="E14" i="7"/>
  <c r="G20" i="5"/>
  <c r="E13" i="7"/>
  <c r="F20" i="5"/>
  <c r="E12" i="7"/>
  <c r="E20" i="5"/>
  <c r="H20" i="5"/>
  <c r="E15" i="7"/>
  <c r="E11" i="7"/>
  <c r="D20" i="5"/>
  <c r="G17" i="57"/>
  <c r="E62" i="34"/>
  <c r="G62" i="34" s="1"/>
  <c r="G23" i="70"/>
  <c r="H23" i="70" s="1"/>
  <c r="G61" i="12"/>
  <c r="G64" i="12" s="1"/>
  <c r="K21" i="34"/>
  <c r="G21" i="13"/>
  <c r="G24" i="13" s="1"/>
  <c r="G22" i="12"/>
  <c r="G25" i="12" s="1"/>
  <c r="D103" i="7"/>
  <c r="D62" i="7"/>
  <c r="K62" i="13"/>
  <c r="G60" i="13"/>
  <c r="G63" i="13" s="1"/>
  <c r="G23" i="21"/>
  <c r="H23" i="21" s="1"/>
  <c r="G75" i="11" s="1"/>
  <c r="E27" i="3"/>
  <c r="G67" i="11"/>
  <c r="K67" i="11" s="1"/>
  <c r="E64" i="11"/>
  <c r="E25" i="3" l="1"/>
  <c r="G21" i="21"/>
  <c r="H21" i="21" s="1"/>
  <c r="G70" i="10" s="1"/>
  <c r="G63" i="10"/>
  <c r="G66" i="10" s="1"/>
  <c r="E59" i="10"/>
  <c r="G21" i="70"/>
  <c r="H21" i="70" s="1"/>
  <c r="E52" i="7"/>
  <c r="E26" i="11"/>
  <c r="E44" i="11" s="1"/>
  <c r="E46" i="11" s="1"/>
  <c r="G19" i="10"/>
  <c r="E22" i="10"/>
  <c r="E38" i="10" s="1"/>
  <c r="E40" i="10" s="1"/>
  <c r="E21" i="8"/>
  <c r="E38" i="8" s="1"/>
  <c r="E40" i="8" s="1"/>
  <c r="E62" i="8"/>
  <c r="E78" i="8" s="1"/>
  <c r="E80" i="8" s="1"/>
  <c r="E63" i="34"/>
  <c r="E79" i="34" s="1"/>
  <c r="E81" i="34" s="1"/>
  <c r="E61" i="34" s="1"/>
  <c r="G68" i="11"/>
  <c r="G71" i="11" s="1"/>
  <c r="E7" i="7"/>
  <c r="D128" i="7"/>
  <c r="B107" i="7" s="1"/>
  <c r="E53" i="7" l="1"/>
  <c r="G22" i="70"/>
  <c r="H22" i="70" s="1"/>
  <c r="G23" i="11"/>
  <c r="E24" i="11"/>
  <c r="E26" i="3"/>
  <c r="G22" i="21"/>
  <c r="H22" i="21" s="1"/>
  <c r="G33" i="11" s="1"/>
  <c r="G19" i="70"/>
  <c r="H19" i="70" s="1"/>
  <c r="E23" i="3"/>
  <c r="G62" i="8"/>
  <c r="G19" i="21"/>
  <c r="H19" i="21" s="1"/>
  <c r="G70" i="8" s="1"/>
  <c r="E60" i="8"/>
  <c r="G18" i="21"/>
  <c r="H18" i="21" s="1"/>
  <c r="G28" i="8" s="1"/>
  <c r="E22" i="3"/>
  <c r="G19" i="8"/>
  <c r="G18" i="70"/>
  <c r="H18" i="70" s="1"/>
  <c r="E19" i="8"/>
  <c r="G20" i="70"/>
  <c r="H20" i="70" s="1"/>
  <c r="G20" i="21"/>
  <c r="H20" i="21" s="1"/>
  <c r="G28" i="10" s="1"/>
  <c r="G20" i="10"/>
  <c r="K20" i="10" s="1"/>
  <c r="E24" i="3"/>
  <c r="E20" i="10"/>
  <c r="G17" i="21"/>
  <c r="G63" i="34"/>
  <c r="E21" i="3"/>
  <c r="H17" i="21"/>
  <c r="G17" i="70"/>
  <c r="H17" i="70" s="1"/>
  <c r="G15" i="57"/>
  <c r="G20" i="57" s="1"/>
  <c r="E62" i="7"/>
  <c r="G91" i="7" s="1"/>
  <c r="E107" i="7"/>
  <c r="E109" i="7" s="1"/>
  <c r="G21" i="10" l="1"/>
  <c r="G24" i="10" s="1"/>
  <c r="K23" i="11"/>
  <c r="G24" i="11"/>
  <c r="G27" i="11" s="1"/>
  <c r="K19" i="8"/>
  <c r="G20" i="8"/>
  <c r="G23" i="8" s="1"/>
  <c r="K62" i="8"/>
  <c r="G63" i="8"/>
  <c r="G66" i="8" s="1"/>
  <c r="D22" i="57"/>
  <c r="E21" i="57"/>
  <c r="G71" i="34"/>
  <c r="G27" i="57"/>
  <c r="E28" i="57" s="1"/>
  <c r="D29" i="57" s="1"/>
  <c r="K62" i="34"/>
  <c r="G64" i="34"/>
  <c r="G67" i="34" s="1"/>
  <c r="G15" i="70"/>
  <c r="G52" i="70" s="1"/>
  <c r="E19" i="3"/>
  <c r="E56" i="3" s="1"/>
  <c r="G15" i="21"/>
  <c r="G52" i="21" s="1"/>
  <c r="E51" i="7"/>
  <c r="F31" i="57" l="1"/>
  <c r="F82" i="34" s="1"/>
  <c r="M54" i="21"/>
  <c r="M56" i="21" s="1"/>
  <c r="M50" i="21" s="1"/>
  <c r="J50" i="21" s="1"/>
  <c r="M63" i="21"/>
  <c r="M54" i="70"/>
  <c r="M56" i="70" s="1"/>
  <c r="M49" i="70" s="1"/>
  <c r="J49" i="70" s="1"/>
  <c r="M63" i="70"/>
  <c r="H15" i="21"/>
  <c r="G98" i="7" s="1"/>
  <c r="H15" i="70"/>
  <c r="H52" i="70" s="1"/>
  <c r="M65" i="70" s="1"/>
  <c r="J67" i="70" s="1"/>
  <c r="G94" i="7"/>
  <c r="M49" i="21" l="1"/>
  <c r="J49" i="21" s="1"/>
  <c r="M50" i="70"/>
  <c r="J50" i="70" s="1"/>
  <c r="H52" i="21"/>
  <c r="M60" i="70"/>
  <c r="F64" i="3" l="1"/>
  <c r="M65" i="21"/>
  <c r="G71" i="12"/>
  <c r="J74" i="12" s="1"/>
  <c r="G76" i="12" s="1"/>
  <c r="G31" i="10"/>
  <c r="J34" i="10" s="1"/>
  <c r="G36" i="10" s="1"/>
  <c r="G12" i="71"/>
  <c r="M60" i="21"/>
  <c r="J67" i="21"/>
  <c r="G36" i="11"/>
  <c r="J39" i="11" s="1"/>
  <c r="G41" i="11" s="1"/>
  <c r="G32" i="12"/>
  <c r="J35" i="12" s="1"/>
  <c r="G37" i="12" s="1"/>
  <c r="G31" i="13"/>
  <c r="J34" i="13" s="1"/>
  <c r="G36" i="13" s="1"/>
  <c r="G70" i="13"/>
  <c r="J73" i="13" s="1"/>
  <c r="G75" i="13" s="1"/>
  <c r="G101" i="7"/>
  <c r="J104" i="7" s="1"/>
  <c r="G106" i="7" s="1"/>
  <c r="G73" i="8"/>
  <c r="J76" i="8" s="1"/>
  <c r="G78" i="8" s="1"/>
  <c r="G73" i="10"/>
  <c r="J76" i="10" s="1"/>
  <c r="G78" i="10" s="1"/>
  <c r="G74" i="34"/>
  <c r="J77" i="34" s="1"/>
  <c r="G79" i="34" s="1"/>
  <c r="G32" i="34"/>
  <c r="J35" i="34" s="1"/>
  <c r="G37" i="34" s="1"/>
  <c r="G78" i="11"/>
  <c r="J81" i="11" s="1"/>
  <c r="G83" i="11" s="1"/>
  <c r="G31" i="8"/>
  <c r="J34" i="8" s="1"/>
  <c r="G36" i="8" s="1"/>
</calcChain>
</file>

<file path=xl/sharedStrings.xml><?xml version="1.0" encoding="utf-8"?>
<sst xmlns="http://schemas.openxmlformats.org/spreadsheetml/2006/main" count="2649" uniqueCount="1197">
  <si>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</si>
  <si>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</si>
  <si>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</si>
  <si>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Attest:_____________________,</t>
  </si>
  <si>
    <t>Funds</t>
  </si>
  <si>
    <t>Budget Authority</t>
  </si>
  <si>
    <t xml:space="preserve">expenditure amounts should reflect the amended </t>
  </si>
  <si>
    <t>expenditure amounts.</t>
  </si>
  <si>
    <t>Neighborhood Revitalization Rebate</t>
  </si>
  <si>
    <t>Miscellaneous</t>
  </si>
  <si>
    <t>Cash Balance Jan 1</t>
  </si>
  <si>
    <t>Employee Benefits</t>
  </si>
  <si>
    <t xml:space="preserve">Employee Benefits </t>
  </si>
  <si>
    <t>28. Added to all budgeted fund pages the budget authority for the actual year, budget violation, and cash violation.</t>
  </si>
  <si>
    <t>29. Added instruction on the addition for item 29.</t>
  </si>
  <si>
    <t>The following were changed to this spreadsheet on 5/08/08</t>
  </si>
  <si>
    <t>Debt Service</t>
  </si>
  <si>
    <t>(Note: Should agree with general sub-totals.)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</si>
  <si>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</si>
  <si>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</si>
  <si>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</si>
  <si>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</si>
  <si>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</si>
  <si>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</si>
  <si>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</si>
  <si>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4. All tax levy fund pages abbreviated the non-appropriated, total expenditures/non-appropriated, and delinquency computation rate.</t>
  </si>
  <si>
    <t>4. Changed foot note to reflect the changes made on 7/1/08 to the above tabs.</t>
  </si>
  <si>
    <t>10. Changed the Bond &amp; Interest tab (B&amp;I) to Debt Service tab (DebtService).</t>
  </si>
  <si>
    <t>11. Changed the revised date on all pages changed.</t>
  </si>
  <si>
    <t xml:space="preserve">Ad Valorem Tax </t>
  </si>
  <si>
    <t>The following were changed to this spreadsheet on 7/01/08</t>
  </si>
  <si>
    <t>Fund Names:</t>
  </si>
  <si>
    <t>Statute</t>
  </si>
  <si>
    <t>General</t>
  </si>
  <si>
    <t>Fund name for all funds with a tax levy:</t>
  </si>
  <si>
    <t>Total</t>
  </si>
  <si>
    <t>Motor Vehicle Tax Estimate</t>
  </si>
  <si>
    <t>Recreational Vehicle Tax Estimate</t>
  </si>
  <si>
    <t>certify that: (1) the hearing mentioned in the attached publication was held;</t>
  </si>
  <si>
    <t>(2) after the Budget Hearing this budget was duly approved and adopted as the</t>
  </si>
  <si>
    <t xml:space="preserve"> </t>
  </si>
  <si>
    <t>Page</t>
  </si>
  <si>
    <t>Table of Contents:</t>
  </si>
  <si>
    <t>No.</t>
  </si>
  <si>
    <t>Statement of Indebtedness</t>
  </si>
  <si>
    <t>Statement of Lease-Purchases</t>
  </si>
  <si>
    <t>Fund</t>
  </si>
  <si>
    <t>K.S.A.</t>
  </si>
  <si>
    <t>Totals</t>
  </si>
  <si>
    <t>x</t>
  </si>
  <si>
    <t>Assisted by:</t>
  </si>
  <si>
    <t>Amount</t>
  </si>
  <si>
    <t>Computation of Delinquency</t>
  </si>
  <si>
    <t>TOTAL</t>
  </si>
  <si>
    <t>County Treas Motor Vehicle Estimate</t>
  </si>
  <si>
    <t>Motor Vehicle Factor</t>
  </si>
  <si>
    <t>Recreational Vehicle Factor</t>
  </si>
  <si>
    <t>Adopted Budget</t>
  </si>
  <si>
    <t>Ad Valorem Tax</t>
  </si>
  <si>
    <t>Delinquent Tax</t>
  </si>
  <si>
    <t>Motor Vehicle Tax</t>
  </si>
  <si>
    <t>Recreational Vehicle Tax</t>
  </si>
  <si>
    <t>Local Alcoholic Liquor</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</si>
  <si>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</si>
  <si>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</si>
  <si>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</si>
  <si>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</si>
  <si>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</si>
  <si>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</si>
  <si>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</si>
  <si>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</si>
  <si>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</si>
  <si>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</si>
  <si>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</si>
  <si>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</si>
  <si>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</si>
  <si>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 xml:space="preserve">The governing body of </t>
  </si>
  <si>
    <t>Actual</t>
  </si>
  <si>
    <t xml:space="preserve">     FUND</t>
  </si>
  <si>
    <t xml:space="preserve"> Expenditures</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</si>
  <si>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</si>
  <si>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</si>
  <si>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</si>
  <si>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</si>
  <si>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</si>
  <si>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</si>
  <si>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</si>
  <si>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</si>
  <si>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</si>
  <si>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</si>
  <si>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</si>
  <si>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</si>
  <si>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</si>
  <si>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</si>
  <si>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</si>
  <si>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</si>
  <si>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</si>
  <si>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</si>
  <si>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</si>
  <si>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</si>
  <si>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</si>
  <si>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</si>
  <si>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</si>
  <si>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</si>
  <si>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</si>
  <si>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</si>
  <si>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</si>
  <si>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</si>
  <si>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</si>
  <si>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</si>
  <si>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</si>
  <si>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</si>
  <si>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</si>
  <si>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</si>
  <si>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</si>
  <si>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</si>
  <si>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</si>
  <si>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</si>
  <si>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</si>
  <si>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</si>
  <si>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</si>
  <si>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</si>
  <si>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</si>
  <si>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</si>
  <si>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</si>
  <si>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16/20M Vehicle Factor</t>
  </si>
  <si>
    <t>16/20M Vehicle Tax</t>
  </si>
  <si>
    <t>Gross Earning (Intangible) Tax</t>
  </si>
  <si>
    <t>Special Highway</t>
  </si>
  <si>
    <t>State of Kansas Gas Tax</t>
  </si>
  <si>
    <t xml:space="preserve">  Real Estate</t>
  </si>
  <si>
    <t xml:space="preserve">  State Assessed</t>
  </si>
  <si>
    <t xml:space="preserve">  New Improvements</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</si>
  <si>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</si>
  <si>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</si>
  <si>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</si>
  <si>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</si>
  <si>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</si>
  <si>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</si>
  <si>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</si>
  <si>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</si>
  <si>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</si>
  <si>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Current</t>
  </si>
  <si>
    <t>Proposed</t>
  </si>
  <si>
    <t>Address:</t>
  </si>
  <si>
    <t>NON-BUDGETED FUNDS (A)</t>
  </si>
  <si>
    <t>(1) Fund Name:</t>
  </si>
  <si>
    <t>(2) Fund Name:</t>
  </si>
  <si>
    <t>(3) Fund Name:</t>
  </si>
  <si>
    <t>(4) Fund Name:</t>
  </si>
  <si>
    <t>(5) Fund Name:</t>
  </si>
  <si>
    <t xml:space="preserve">Unencumbered </t>
  </si>
  <si>
    <t>Cash Balance Dec 31</t>
  </si>
  <si>
    <t>NON-BUDGETED FUNDS (B)</t>
  </si>
  <si>
    <t>NON-BUDGETED FUNDS (C)</t>
  </si>
  <si>
    <t>NON-BUDGETED FUNDS (D)</t>
  </si>
  <si>
    <t>Territory Added: (Current Year Only)</t>
  </si>
  <si>
    <t>Neighborhood Revitalization</t>
  </si>
  <si>
    <t>16\20 M Vehicle Tax</t>
  </si>
  <si>
    <t xml:space="preserve">   </t>
  </si>
  <si>
    <t>10-113</t>
  </si>
  <si>
    <t xml:space="preserve">  G.O. Bonds</t>
  </si>
  <si>
    <t xml:space="preserve">  Revenue Bonds</t>
  </si>
  <si>
    <t xml:space="preserve">  Other</t>
  </si>
  <si>
    <t xml:space="preserve">  Lease Purchase Principal</t>
  </si>
  <si>
    <t>Other (non-tax levy) fund names:</t>
  </si>
  <si>
    <t xml:space="preserve">City Official Title: </t>
  </si>
  <si>
    <t>Salaries &amp; Wages</t>
  </si>
  <si>
    <t>County Transfers Gas</t>
  </si>
  <si>
    <t>Ad Valorem</t>
  </si>
  <si>
    <t>Tax</t>
  </si>
  <si>
    <t>Beginning Amount</t>
  </si>
  <si>
    <t xml:space="preserve">of </t>
  </si>
  <si>
    <t>Outstanding</t>
  </si>
  <si>
    <t>Retirement</t>
  </si>
  <si>
    <t xml:space="preserve">Total Other </t>
  </si>
  <si>
    <t>Transfers</t>
  </si>
  <si>
    <t>Amount for</t>
  </si>
  <si>
    <t>Authorized by</t>
  </si>
  <si>
    <t>From:</t>
  </si>
  <si>
    <t>To:</t>
  </si>
  <si>
    <t xml:space="preserve"> Statute</t>
  </si>
  <si>
    <t>Adjustments</t>
  </si>
  <si>
    <t>Adjusted Totals</t>
  </si>
  <si>
    <t>Budgeted Fund</t>
  </si>
  <si>
    <t>Non-Budgeted Funds-C</t>
  </si>
  <si>
    <t>Non-Budgeted Funds-D</t>
  </si>
  <si>
    <t>Non-Budgeted Funds-B</t>
  </si>
  <si>
    <t>Non-Budgeted Funds-A</t>
  </si>
  <si>
    <t>Single Non Tax Levy:</t>
  </si>
  <si>
    <t>Non-Budgeted (A):</t>
  </si>
  <si>
    <t>Non-Budgeted (B):</t>
  </si>
  <si>
    <t>Non-Budgeted (C):</t>
  </si>
  <si>
    <t>Non-Budgeted (D):</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</si>
  <si>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</si>
  <si>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</si>
  <si>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</si>
  <si>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</si>
  <si>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</si>
  <si>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</si>
  <si>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</si>
  <si>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</si>
  <si>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</si>
  <si>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</si>
  <si>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</si>
  <si>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</si>
  <si>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</si>
  <si>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</si>
  <si>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</si>
  <si>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</si>
  <si>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 xml:space="preserve">The input for the following comes directly from </t>
  </si>
  <si>
    <t>**</t>
  </si>
  <si>
    <t>**Note: The two bold yellow figures should agree.</t>
  </si>
  <si>
    <t>**Note: These two block figures should agree.</t>
  </si>
  <si>
    <t>7a. Added instruction line 4a to explain about no-fund warrants and temporary notes can be added to the debt service on the Computation to Determine Levy Limit.</t>
  </si>
  <si>
    <t>7b. Added instruction line 9d to explain more about the debt service fund page can included for debts.</t>
  </si>
  <si>
    <t xml:space="preserve">4.  All dates on the spreadsheet are controlled from input on the input Prior Year page. </t>
  </si>
  <si>
    <t>14. Changed the Certificate page so the county name flows instead of having unneeded spaces.</t>
  </si>
  <si>
    <t>The following were changed to this spreadsheet on 2/23/09</t>
  </si>
  <si>
    <t>Valuation Factor:</t>
  </si>
  <si>
    <t>Neighborhood Revitalization Subj to Rebate:</t>
  </si>
  <si>
    <t>Neighborhood Revitalization factor:</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</si>
  <si>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</si>
  <si>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</si>
  <si>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</si>
  <si>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</si>
  <si>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</si>
  <si>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</si>
  <si>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</si>
  <si>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</si>
  <si>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</si>
  <si>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</si>
  <si>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</si>
  <si>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</si>
  <si>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</si>
  <si>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</si>
  <si>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</si>
  <si>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</si>
  <si>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</si>
  <si>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</si>
  <si>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</si>
  <si>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</si>
  <si>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</si>
  <si>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</si>
  <si>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</si>
  <si>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</si>
  <si>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</si>
  <si>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</si>
  <si>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</si>
  <si>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</si>
  <si>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</si>
  <si>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</si>
  <si>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</si>
  <si>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</si>
  <si>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</si>
  <si>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</si>
  <si>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</si>
  <si>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</si>
  <si>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</si>
  <si>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</si>
  <si>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</si>
  <si>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</si>
  <si>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</si>
  <si>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Page 1 - Total</t>
  </si>
  <si>
    <t>Page 1 -Total</t>
  </si>
  <si>
    <t>Page 2 -Total</t>
  </si>
  <si>
    <t xml:space="preserve">Grand Total </t>
  </si>
  <si>
    <t xml:space="preserve">           General Fund - Detail Page 1</t>
  </si>
  <si>
    <t xml:space="preserve">           General Fund - Detail Page 2</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</si>
  <si>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</si>
  <si>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</si>
  <si>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</si>
  <si>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</si>
  <si>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</si>
  <si>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</si>
  <si>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</si>
  <si>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</si>
  <si>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Date:</t>
  </si>
  <si>
    <t>Time:</t>
  </si>
  <si>
    <t>Location:</t>
  </si>
  <si>
    <t>Available at:</t>
  </si>
  <si>
    <t>7:00 PM or 7:00 AM</t>
  </si>
  <si>
    <t>City Hall</t>
  </si>
  <si>
    <t>1. Instruction tab, added step 3 for 'inputBudSum'</t>
  </si>
  <si>
    <t>2. Added tab 'inputBudSum'</t>
  </si>
  <si>
    <t>3. Changed Budget Summary replacing the green areas for date/time/location so info comes from inputBudSum tab</t>
  </si>
  <si>
    <t>Possible Budget Law Violation</t>
  </si>
  <si>
    <t>Can the potential violation be corrected at this time?</t>
  </si>
  <si>
    <t>What should I do?</t>
  </si>
  <si>
    <t>available).</t>
  </si>
  <si>
    <t>Is amending the budget an option?</t>
  </si>
  <si>
    <t>Thank you.</t>
  </si>
  <si>
    <t>Possible Cash Basis Law Violation</t>
  </si>
  <si>
    <t xml:space="preserve">Is this a violation?  </t>
  </si>
  <si>
    <t>What if K.S.A. 10-1116 applies?</t>
  </si>
  <si>
    <t>avoid a cash basis law violation.</t>
  </si>
  <si>
    <t>Options</t>
  </si>
  <si>
    <t>Current Year - Possible Budget Law Violation</t>
  </si>
  <si>
    <t>What should I do at this time?</t>
  </si>
  <si>
    <t>Current Year - Possible Cash Basis Law Violation</t>
  </si>
  <si>
    <t>fund.</t>
  </si>
  <si>
    <t>Should this be fixed?</t>
  </si>
  <si>
    <t>you will want your ending cash balance to be $0.</t>
  </si>
  <si>
    <t>Should this be fixed before we adopt the budget?</t>
  </si>
  <si>
    <t>How do I fix the violation?</t>
  </si>
  <si>
    <t>Is there a benefit to having a positive cash balance?</t>
  </si>
  <si>
    <t>answering objections of taxpayers relating to the proposed use of all funds and the amount of ad valorem tax.</t>
  </si>
  <si>
    <t>4. Deleted lines on Budget Summary reference in #3</t>
  </si>
  <si>
    <t>*Note:</t>
  </si>
  <si>
    <t>Expenditure</t>
  </si>
  <si>
    <t>Receipt</t>
  </si>
  <si>
    <t xml:space="preserve">Fund Transferred </t>
  </si>
  <si>
    <t>Fund Transferred</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</si>
  <si>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</si>
  <si>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</si>
  <si>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</si>
  <si>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</si>
  <si>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</si>
  <si>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Delinquent Comp Rate:</t>
  </si>
  <si>
    <t>Non-Appropriated Balance</t>
  </si>
  <si>
    <t>Total Expenditure/Non-Appr Balance</t>
  </si>
  <si>
    <r>
      <t xml:space="preserve"> Subtotal detail (</t>
    </r>
    <r>
      <rPr>
        <sz val="12"/>
        <color indexed="10"/>
        <rFont val="Times New Roman"/>
        <family val="1"/>
      </rPr>
      <t>S</t>
    </r>
    <r>
      <rPr>
        <sz val="12"/>
        <color indexed="10"/>
        <rFont val="Times New Roman"/>
        <family val="1"/>
      </rPr>
      <t>hould agree with detail</t>
    </r>
    <r>
      <rPr>
        <sz val="12"/>
        <rFont val="Times New Roman"/>
        <family val="1"/>
      </rPr>
      <t>)</t>
    </r>
  </si>
  <si>
    <t/>
  </si>
  <si>
    <t>for Expenditures</t>
  </si>
  <si>
    <t>Helpful Links</t>
  </si>
  <si>
    <t>Municipal Services (Kansas Department of Administration, Accounts and Reports) – Budget forms, confirmation of payments, transfer statutes, non-budgeted fund statutes, etc.</t>
  </si>
  <si>
    <t>State Debt Setoff Program (Kansas Department of Administration, Accounts and Reports) – Passive collection tool to assist municipalities with collection of unpaid utility bills, etc.</t>
  </si>
  <si>
    <t>Kansas Legislature – Kansas Statutes (usually updated in January), House and Senate Bills, etc.</t>
  </si>
  <si>
    <t>Kansas Attorney General Opinions</t>
  </si>
  <si>
    <t>Kansas Department of Revenue</t>
  </si>
  <si>
    <t>Kansas Department of Revenue – Property Valuation</t>
  </si>
  <si>
    <t>Kansas Pooled Money Investment Board – Investment of Idle Funds in the Municipal Investment Pool</t>
  </si>
  <si>
    <t>1. All pages removed the revision date</t>
  </si>
  <si>
    <t>2. All tax levy fund pages reduced the columns and revised the bottom of pages for see tabs</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</si>
  <si>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</si>
  <si>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</si>
  <si>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</si>
  <si>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</si>
  <si>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</si>
  <si>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</si>
  <si>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The estimated value of one mill would be:</t>
  </si>
  <si>
    <t>Change in Ad Valorem Tax Revenue:</t>
  </si>
  <si>
    <t>What Mill Rate Would Be Desired?</t>
  </si>
  <si>
    <t>Official Title:</t>
  </si>
  <si>
    <t>City Clerk, City Treasurer, Mayor</t>
  </si>
  <si>
    <t>Local Sales Tax</t>
  </si>
  <si>
    <t>Franchise Tax</t>
  </si>
  <si>
    <t>Desired Carryover Amount:</t>
  </si>
  <si>
    <t>Estimated Mill Rate Impact:</t>
  </si>
  <si>
    <t xml:space="preserve">Totals </t>
  </si>
  <si>
    <t>Does miscellaneous exceed 10% Total Rec</t>
  </si>
  <si>
    <t>Does miscellaneous exceed 10% Total Exp</t>
  </si>
  <si>
    <t>Does miscellanous exceed 10% Total Exp</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</si>
  <si>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</si>
  <si>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</si>
  <si>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</si>
  <si>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</si>
  <si>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</si>
  <si>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</si>
  <si>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</si>
  <si>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</si>
  <si>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</si>
  <si>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</si>
  <si>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</si>
  <si>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</si>
  <si>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</si>
  <si>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</si>
  <si>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</si>
  <si>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</si>
  <si>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</si>
  <si>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</si>
  <si>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</si>
  <si>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</si>
  <si>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</si>
  <si>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</si>
  <si>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</si>
  <si>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1. Summ tab changed proposed year expenditure column to 'Budget Authority for Expenditures'</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</si>
  <si>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</si>
  <si>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</si>
  <si>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</si>
  <si>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</si>
  <si>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</si>
  <si>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</si>
  <si>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</si>
  <si>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</si>
  <si>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</si>
  <si>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</si>
  <si>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</si>
  <si>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</si>
  <si>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</si>
  <si>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</si>
  <si>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</si>
  <si>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</si>
  <si>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</si>
  <si>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</si>
  <si>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</si>
  <si>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</si>
  <si>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</si>
  <si>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</si>
  <si>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</si>
  <si>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</si>
  <si>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</si>
  <si>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</si>
  <si>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</si>
  <si>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</si>
  <si>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</si>
  <si>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</si>
  <si>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</si>
  <si>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</si>
  <si>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</si>
  <si>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</si>
  <si>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 xml:space="preserve"> Debt</t>
  </si>
  <si>
    <t>Type of</t>
  </si>
  <si>
    <t xml:space="preserve"> Purchased</t>
  </si>
  <si>
    <t>Item</t>
  </si>
  <si>
    <t xml:space="preserve">Amounts used in lieu of </t>
  </si>
  <si>
    <t>Library</t>
  </si>
  <si>
    <t>12-1220</t>
  </si>
  <si>
    <t>Delinquency % used in this budget will be shown on all fund pages with a tax levy**</t>
  </si>
  <si>
    <t>Official Name:</t>
  </si>
  <si>
    <t>Expenditures Must Be Changed By:</t>
  </si>
  <si>
    <t>Expenditures Must Be Changed by:</t>
  </si>
  <si>
    <t>WORKSHEET FOR STATE GRANT-IN-AID TO PUBLIC LIBRARIES AND</t>
  </si>
  <si>
    <t>REGIONAL LIBRARY SYSTEMS</t>
  </si>
  <si>
    <t>First test:</t>
  </si>
  <si>
    <t>Current Year</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</si>
  <si>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</si>
  <si>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</si>
  <si>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</si>
  <si>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</si>
  <si>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</si>
  <si>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</si>
  <si>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</si>
  <si>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</si>
  <si>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</si>
  <si>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</si>
  <si>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</si>
  <si>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</si>
  <si>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</si>
  <si>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</si>
  <si>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</si>
  <si>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</si>
  <si>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</si>
  <si>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</si>
  <si>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</si>
  <si>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</si>
  <si>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</si>
  <si>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</si>
  <si>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</si>
  <si>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</si>
  <si>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</si>
  <si>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</si>
  <si>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</si>
  <si>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</si>
  <si>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</si>
  <si>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</si>
  <si>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</si>
  <si>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</si>
  <si>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</si>
  <si>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</si>
  <si>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</si>
  <si>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</si>
  <si>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</si>
  <si>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</si>
  <si>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</si>
  <si>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</si>
  <si>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</si>
  <si>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</si>
  <si>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</si>
  <si>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</si>
  <si>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</si>
  <si>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</si>
  <si>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</si>
  <si>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</si>
  <si>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Allocation of MVT, RVT, 16/20M Veh Tax</t>
  </si>
  <si>
    <t xml:space="preserve">Prior Year </t>
  </si>
  <si>
    <t xml:space="preserve">Current Year </t>
  </si>
  <si>
    <t xml:space="preserve">Proposed Budget </t>
  </si>
  <si>
    <t>34. Certificate tab added a place for the email address of the assisted by</t>
  </si>
  <si>
    <t>1. Library Grant tab, updated State Library e-mail contact address</t>
  </si>
  <si>
    <t>1. Corrected addition computation in column D, inputPrYr tab</t>
  </si>
  <si>
    <t xml:space="preserve">Ad Valorem </t>
  </si>
  <si>
    <t xml:space="preserve">Recreational Vehicle Tax </t>
  </si>
  <si>
    <t xml:space="preserve">16/20M Vehicle Tax </t>
  </si>
  <si>
    <t>1.  Added "ordinance required?  yes/no" message to area adjacent to each tax levy fund</t>
  </si>
  <si>
    <t>1.  Corrected formula in cell e28 of Library Grant tab</t>
  </si>
  <si>
    <t>1.  Instruction tab narrative modification</t>
  </si>
  <si>
    <t>1.  "Budget Authority Amount" cell added to budget year column of all funds.</t>
  </si>
  <si>
    <t>The following changes were made to this workbook on 5/7/14</t>
  </si>
  <si>
    <t>1.  Several changes to workbook associated with 2014 HB 2047.</t>
  </si>
  <si>
    <t>The following changes were made to this workbook on 3/21/13</t>
  </si>
  <si>
    <t>The following changes were made to this workbook on 1/31/13</t>
  </si>
  <si>
    <t>The following changes were made to this workbook on 10/8/12</t>
  </si>
  <si>
    <t>The following changes were made to this workbook on 4/10/12</t>
  </si>
  <si>
    <t>The following changes were made to this workbook on 2/22/12</t>
  </si>
  <si>
    <t>The following changes were made to this workbook on 8/16/11</t>
  </si>
  <si>
    <t>The following changes were made to this workbook on 6/17/11</t>
  </si>
  <si>
    <t>The following changes were made to this workbook on 4/19/11</t>
  </si>
  <si>
    <t>The following changes were made to this workbook on 1/05/10</t>
  </si>
  <si>
    <t>The following changes were made to this workbook on 12/28/09</t>
  </si>
  <si>
    <t>The following changes were made to this workbook on 12/08/09</t>
  </si>
  <si>
    <t>The following changes were made to this workbook on 10/2/09</t>
  </si>
  <si>
    <t>1.  Correction to formula in cell j44 of the computation tab worksheet.</t>
  </si>
  <si>
    <t>The following changes were made to this workbook on 7/9/14</t>
  </si>
  <si>
    <t>1.  Update of State Library contact name on library grant tab.</t>
  </si>
  <si>
    <t>Input Sheet for City2 Budget Workbook</t>
  </si>
  <si>
    <t>Enter city name ("City of _____"):</t>
  </si>
  <si>
    <t>Enter county name followed by "County":</t>
  </si>
  <si>
    <t>Enter year being budgeted (YYYY):</t>
  </si>
  <si>
    <t xml:space="preserve">Enter the following information from the sources shown.  This information will flow throughout the budget worksheets to the appropriate locations. </t>
  </si>
  <si>
    <r>
      <rPr>
        <sz val="12"/>
        <color indexed="10"/>
        <rFont val="Times New Roman"/>
        <family val="1"/>
      </rPr>
      <t>Note:</t>
    </r>
    <r>
      <rPr>
        <sz val="12"/>
        <rFont val="Times New Roman"/>
        <family val="1"/>
      </rPr>
      <t xml:space="preserve">  the tool below may be used to create a more realistic estimate of ad valorem taxes to be received in the current year.  Input an estimated delinquency percentage in the green box. This </t>
    </r>
    <r>
      <rPr>
        <sz val="12"/>
        <color indexed="10"/>
        <rFont val="Times New Roman"/>
        <family val="1"/>
      </rPr>
      <t>is not mandatory</t>
    </r>
    <r>
      <rPr>
        <sz val="12"/>
        <rFont val="Times New Roman"/>
        <family val="1"/>
      </rPr>
      <t xml:space="preserve"> and may be left blank.            </t>
    </r>
  </si>
  <si>
    <t>Note:  All amounts are to be entered as whole numbers only.</t>
  </si>
  <si>
    <t>How to Compute the Value of One Mill, and the Impact of Tax Dollars and Assessed Valuation on Mill Rates</t>
  </si>
  <si>
    <t>Commercial Vehicle Tax Estimate</t>
  </si>
  <si>
    <t>Watercraft Tax Estimate</t>
  </si>
  <si>
    <t>Comm Veh</t>
  </si>
  <si>
    <t>Watercraft</t>
  </si>
  <si>
    <t xml:space="preserve">Ad Valorem Levy </t>
  </si>
  <si>
    <t>County Treas Recreational Vehicle Estimate</t>
  </si>
  <si>
    <t>County Treas 16/20M Vehicle Estimate</t>
  </si>
  <si>
    <t>County Treas Commercial Vehicle Tax Estimate</t>
  </si>
  <si>
    <t>County Treas Watercraft Tax Estimate</t>
  </si>
  <si>
    <t>Commercial Vehicle Factor</t>
  </si>
  <si>
    <t>Watercraft Factor</t>
  </si>
  <si>
    <t>Commercial Vehicle Tax</t>
  </si>
  <si>
    <t>Watercraft Tax</t>
  </si>
  <si>
    <t>1.  Various workbook changes associated with commercial vehicle and watercraft tax estimates.</t>
  </si>
  <si>
    <t xml:space="preserve">Allocation of MV, RV, 16/20M, Commercial Vehicle, and Watercraft Tax Estimates </t>
  </si>
  <si>
    <t>The following changes were made to this workbook on 1/21/15</t>
  </si>
  <si>
    <t>1.  Inserted 2014 CPI percentage on computation tab.</t>
  </si>
  <si>
    <t>2.  Corrected formula in cell d24 of library grant tab.</t>
  </si>
  <si>
    <t>1.  Inserted 2015 CPI percentage on computation tab.</t>
  </si>
  <si>
    <t>The following changes were made to this workbook on 4/7/2017</t>
  </si>
  <si>
    <t xml:space="preserve">1.  Update the Instruction tab with Rico's name and telephone number.  Updated ARMUNIS address.  </t>
  </si>
  <si>
    <t xml:space="preserve">2.  Disabled the Computation tab - Counties and Cities will need to use the HB 2088 Template for the 2018 budgets.  </t>
  </si>
  <si>
    <t xml:space="preserve">CPA Summary </t>
  </si>
  <si>
    <t>Expiration of Property Tax Abatements</t>
  </si>
  <si>
    <t>CPA Summary</t>
  </si>
  <si>
    <t>The following changes were made to this workbook during April 2018</t>
  </si>
  <si>
    <t>1.  Added CPA Summary Tab</t>
  </si>
  <si>
    <t xml:space="preserve">2.  Added CPA Summary Box to Certification Page and all Fund Pages </t>
  </si>
  <si>
    <t xml:space="preserve">3. Added CPI Percentages on Input Prior Year Tab </t>
  </si>
  <si>
    <t>4. Added Computed Tax Levy Amount on Certification Page and Edit if Election is Required</t>
  </si>
  <si>
    <t>5.  Removed Computation Tab and Inserted Comp1, Comp2, and Comp3 Tabs and Inserted Various Links</t>
  </si>
  <si>
    <t>6.  Changed Megan Schulz email address on Library Grant Tab</t>
  </si>
  <si>
    <t xml:space="preserve">7.  Removed Public Notice Options Tabs 1, 2, and 3 </t>
  </si>
  <si>
    <t xml:space="preserve">8.  Removed Resolution Tab   </t>
  </si>
  <si>
    <t xml:space="preserve">Please read these instructions carefully.  If after reviewing the instructions you still have questions, contact Municipal Services at 785-296-6033 or 785-296-8083; or via email to armunis@ks.gov. </t>
  </si>
  <si>
    <t>1.  Updated Municipal Services' contact information on the Instruction tab</t>
  </si>
  <si>
    <t xml:space="preserve">2.  Entered 2020 for the budget year and the applicable CPI percentages on the InputPrYr tab </t>
  </si>
  <si>
    <t>3.  Highlighted tab (pages) in blue if the page is to be printed and submitted as part of the budget</t>
  </si>
  <si>
    <t>4.  Added Remodeling and Rennovation to the New Improvements line on the InputOther tab</t>
  </si>
  <si>
    <t>5.  Added Remodeling and Rennovation to the New Improvements line on the Comp1 tab</t>
  </si>
  <si>
    <t>6.  Added Levy for Dissolved Taxing Entity on the Comp3 tab</t>
  </si>
  <si>
    <t>Alice.Smith@ks.gov</t>
  </si>
  <si>
    <t>1. CPI Percentages were entered for the 2021 budget year</t>
  </si>
  <si>
    <t xml:space="preserve">2. Combined percentage/revenue adjustment computation for tax lid into "Comp1", added "If/then" statement at bottom of comp tab to direct users on following steps. </t>
  </si>
  <si>
    <t>3. Comp2 is now the other limit determination tests (Property Decline and Lost Valuation)</t>
  </si>
  <si>
    <t>4. Updated the Helpful Links to correct weblinks</t>
  </si>
  <si>
    <t>5. Used format painter to make all pages consistent in color and layout</t>
  </si>
  <si>
    <t>Revenue Neutral Rate</t>
  </si>
  <si>
    <t>Revenue Neutral Rate**</t>
  </si>
  <si>
    <t>The following changes were made to this workbook during April 2021</t>
  </si>
  <si>
    <t>1. CPI was removed (2021 SB 13)</t>
  </si>
  <si>
    <t>2. Computed Limit/Tax Lid references and tabs were removed throughout workbook (2021 SB 13)</t>
  </si>
  <si>
    <t>3. Budget Summary Page was updated to include Revenue Neutral Rate (2021 SB 13)</t>
  </si>
  <si>
    <t xml:space="preserve">4. Instructions were adjusted to reflect changes from 2021 SB 13. </t>
  </si>
  <si>
    <t>Budget Workbook Instructions</t>
  </si>
  <si>
    <t xml:space="preserve">Please use the budget workbook that corresponds to the number of funds that are used by your taxing subdivision.  If you do not need all the fund pages in the workbook, leave the page number field on the unused fund pages blank and number the completed fund pages sequentially.  The Certificate page will be updated when the page numbers are entered on the fund pages. </t>
  </si>
  <si>
    <t>Submitting the Budget</t>
  </si>
  <si>
    <t>KSA 79-2930 requires budgets be submitted by electronic means to your County Clerk. Acceptable electronic formats are Microsoft Excel and Adobe PDF.</t>
  </si>
  <si>
    <t>General Instructions</t>
  </si>
  <si>
    <t xml:space="preserve">The worksheet tabs are labeled an abbreviation of the document name.  The worksheet tabs are identified in workbook by referencing the tab name in parentheses. For example, the General Fund reference is (General). </t>
  </si>
  <si>
    <t>All dollar amounts should be recorded in whole dollars (do not include cents).</t>
  </si>
  <si>
    <t xml:space="preserve">      Data should only be entered in the green-shaded cells on the budget worksheets.  </t>
  </si>
  <si>
    <t xml:space="preserve">      The beige-shaded cells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continue to experience problems, please contact Municipal Services for assistance. </t>
  </si>
  <si>
    <t xml:space="preserve">      The blue-shaded cells indicate where the required data input can be located. </t>
  </si>
  <si>
    <t xml:space="preserve">      Red-shaded cells are for notes or indicate a problem area that may need corrective action. </t>
  </si>
  <si>
    <r>
      <t xml:space="preserve">To print the worksheets, you can print one tab at a time or all tabs at once by highlighting the tabs that need to be printed.  </t>
    </r>
    <r>
      <rPr>
        <b/>
        <u/>
        <sz val="12"/>
        <rFont val="Times New Roman"/>
        <family val="1"/>
      </rPr>
      <t>Note</t>
    </r>
    <r>
      <rPr>
        <sz val="12"/>
        <rFont val="Times New Roman"/>
        <family val="1"/>
      </rPr>
      <t xml:space="preserve">: Do not print the instructions, input tabs, statutes, etc.  All tabs that are colored blue should be printed (if applicable) and submitted.  </t>
    </r>
  </si>
  <si>
    <t>Workbook Preparation</t>
  </si>
  <si>
    <t>Before getting started, make sure that you have all documents necessary to retrieve the input information for this year’s budget. For a list of documents to have available, see the “Preparing the Budget – Documents Needed” checklist on the Municipal Services website.</t>
  </si>
  <si>
    <r>
      <t xml:space="preserve">1. </t>
    </r>
    <r>
      <rPr>
        <u/>
        <sz val="12"/>
        <rFont val="Times New Roman"/>
        <family val="1"/>
      </rPr>
      <t>Input Prior Year (inputPrYr)</t>
    </r>
    <r>
      <rPr>
        <sz val="12"/>
        <rFont val="Times New Roman"/>
        <family val="1"/>
      </rPr>
      <t xml:space="preserve">: The information comes directly from last year's budget.  After the information has been entered, please verify the data is correct.  If at a later date, it is determined the information is incorrect, correct the information on this page, </t>
    </r>
    <r>
      <rPr>
        <u/>
        <sz val="12"/>
        <rFont val="Times New Roman"/>
        <family val="1"/>
      </rPr>
      <t>not</t>
    </r>
    <r>
      <rPr>
        <sz val="12"/>
        <rFont val="Times New Roman"/>
        <family val="1"/>
      </rPr>
      <t xml:space="preserve"> the fund page. </t>
    </r>
  </si>
  <si>
    <r>
      <t>a.</t>
    </r>
    <r>
      <rPr>
        <sz val="7"/>
        <rFont val="Times New Roman"/>
        <family val="1"/>
      </rPr>
      <t xml:space="preserve">       </t>
    </r>
    <r>
      <rPr>
        <sz val="12"/>
        <rFont val="Times New Roman"/>
        <family val="1"/>
      </rPr>
      <t>In the green-shaded cell, enter the name of the taxing subdivision. For cities, please include “City of” before the city name.</t>
    </r>
  </si>
  <si>
    <r>
      <t>b.</t>
    </r>
    <r>
      <rPr>
        <sz val="7"/>
        <rFont val="Times New Roman"/>
        <family val="1"/>
      </rPr>
      <t xml:space="preserve">      </t>
    </r>
    <r>
      <rPr>
        <sz val="12"/>
        <rFont val="Times New Roman"/>
        <family val="1"/>
      </rPr>
      <t>Dates for the entire budget workbook are controlled by the year entered into the "Enter year being budgeted (YYYY)" field. This field will be prepopulated. If you find a date that is not correct for the budget being submitted, please contact Municipal Services for assistance.</t>
    </r>
  </si>
  <si>
    <r>
      <t>c.</t>
    </r>
    <r>
      <rPr>
        <sz val="7"/>
        <rFont val="Times New Roman"/>
        <family val="1"/>
      </rPr>
      <t xml:space="preserve">       </t>
    </r>
    <r>
      <rPr>
        <u/>
        <sz val="12"/>
        <rFont val="Times New Roman"/>
        <family val="1"/>
      </rPr>
      <t>Optional</t>
    </r>
    <r>
      <rPr>
        <sz val="12"/>
        <rFont val="Times New Roman"/>
        <family val="1"/>
      </rPr>
      <t>: To the right of the last year Ad Valorem Tax column is a tool that may be used to create an estimate of ad valorem taxes to be received in the current year. Input an estimated delinquency percentage in the green-shaded cell. If you do not wish to use an estimated delinquency percentage, leave the green-shaded field at 0.00%.</t>
    </r>
  </si>
  <si>
    <r>
      <t>d.</t>
    </r>
    <r>
      <rPr>
        <sz val="7"/>
        <rFont val="Times New Roman"/>
        <family val="1"/>
      </rPr>
      <t xml:space="preserve">      </t>
    </r>
    <r>
      <rPr>
        <sz val="12"/>
        <rFont val="Times New Roman"/>
        <family val="1"/>
      </rPr>
      <t>Follow the instruction in the blue-shaded cells to complete the green-shaded input cells applicable to your budget.</t>
    </r>
  </si>
  <si>
    <r>
      <t>2.</t>
    </r>
    <r>
      <rPr>
        <sz val="12"/>
        <rFont val="Times New Roman"/>
        <family val="1"/>
      </rPr>
      <t xml:space="preserve"> </t>
    </r>
    <r>
      <rPr>
        <u/>
        <sz val="12"/>
        <rFont val="Times New Roman"/>
        <family val="1"/>
      </rPr>
      <t>Input Other (inputOth)</t>
    </r>
    <r>
      <rPr>
        <sz val="12"/>
        <rFont val="Times New Roman"/>
        <family val="1"/>
      </rPr>
      <t xml:space="preserve">: The information entered on this tab is obtained from the County Clerk, County Treasurer, Municipal Services website, and the adopted budget information from two years ago (including any amendments).  After the information has been entered, please verify the data is correct. </t>
    </r>
  </si>
  <si>
    <r>
      <t>a.</t>
    </r>
    <r>
      <rPr>
        <sz val="7"/>
        <rFont val="Times New Roman"/>
        <family val="1"/>
      </rPr>
      <t xml:space="preserve">       </t>
    </r>
    <r>
      <rPr>
        <sz val="12"/>
        <rFont val="Times New Roman"/>
        <family val="1"/>
      </rPr>
      <t>Follow instruction in the blue-shaded cells to complete the green-shaded input cells.</t>
    </r>
  </si>
  <si>
    <r>
      <t>b.</t>
    </r>
    <r>
      <rPr>
        <sz val="7"/>
        <rFont val="Times New Roman"/>
        <family val="1"/>
      </rPr>
      <t xml:space="preserve">      </t>
    </r>
    <r>
      <rPr>
        <b/>
        <u/>
        <sz val="12"/>
        <rFont val="Times New Roman"/>
        <family val="1"/>
      </rPr>
      <t>Note</t>
    </r>
    <r>
      <rPr>
        <sz val="12"/>
        <rFont val="Times New Roman"/>
        <family val="1"/>
      </rPr>
      <t>: Computation of Delinquency. This allowance is not mandatory but may be used if the municipality wishes. KSA 79-2930 states that such allowance shall not exceed by more than 5% the percentage of delinquency for the preceding tax year. The delinquency rate will be applied to all tax levy fund pages.</t>
    </r>
  </si>
  <si>
    <t>If the taxing subdivision chooses to use the delinquency rate for some but not all tax levy funds, the taxing subdivision must delete the delinquency rate from the funds that should not include delinquency. Right-click on the tab of the fund that does not require the delinquency rate estimate and select Unprotect Sheet. Delete the data in the Delinquent Comp Rate cell. Right click on the tab of the fund page and select Protect Sheet and OK. You do not need to enter a password in the Protect Sheet window. Select OK. Go to the next fund tab and complete the same steps, if applicable.</t>
  </si>
  <si>
    <r>
      <t>3.</t>
    </r>
    <r>
      <rPr>
        <sz val="12"/>
        <rFont val="Times New Roman"/>
        <family val="1"/>
      </rPr>
      <t xml:space="preserve"> </t>
    </r>
    <r>
      <rPr>
        <u/>
        <sz val="12"/>
        <rFont val="Times New Roman"/>
        <family val="1"/>
      </rPr>
      <t>Input Hearing Information (inputHearing)</t>
    </r>
    <r>
      <rPr>
        <sz val="12"/>
        <rFont val="Times New Roman"/>
        <family val="1"/>
      </rPr>
      <t xml:space="preserve">: The information entered on this tab will populate the public hearing information to the appropriate hearing notice.  Review the available options and based on the taxing subdivision needs and complete the appropriate section(s). </t>
    </r>
  </si>
  <si>
    <r>
      <t xml:space="preserve">NOTE: </t>
    </r>
    <r>
      <rPr>
        <sz val="12"/>
        <rFont val="Times New Roman"/>
        <family val="1"/>
      </rPr>
      <t xml:space="preserve">All taxing subdivisions must publish the summarized budget in order to legally adopt the budget (unless otherwise authorized by law).  To do this, either the “Budget Hearing Notice Only” or the “Combined Revenue Neutral Rate &amp; Budget Hearing Notice” section and publication should be used.  </t>
    </r>
  </si>
  <si>
    <r>
      <t>a.</t>
    </r>
    <r>
      <rPr>
        <sz val="7"/>
        <rFont val="Times New Roman"/>
        <family val="1"/>
      </rPr>
      <t xml:space="preserve">       </t>
    </r>
    <r>
      <rPr>
        <u/>
        <sz val="12"/>
        <rFont val="Times New Roman"/>
        <family val="1"/>
      </rPr>
      <t>Budget Hearing Notice Only</t>
    </r>
    <r>
      <rPr>
        <sz val="12"/>
        <rFont val="Times New Roman"/>
        <family val="1"/>
      </rPr>
      <t xml:space="preserve">: If the subdivision does not intend to exceed the RNR or will publish the RNR hearing information separately, this section may be used.  Enter the required information into the green-shaded cells. Print and review the tab (Budget Hearing Notice). If correct, this document will be provided to the newspaper for publication. </t>
    </r>
    <r>
      <rPr>
        <b/>
        <sz val="12"/>
        <rFont val="Times New Roman"/>
        <family val="1"/>
      </rPr>
      <t>Warning:</t>
    </r>
    <r>
      <rPr>
        <sz val="12"/>
        <rFont val="Times New Roman"/>
        <family val="1"/>
      </rPr>
      <t xml:space="preserve"> The publication must occur at least 10 days prior to the budget hearing. </t>
    </r>
  </si>
  <si>
    <r>
      <t>b.</t>
    </r>
    <r>
      <rPr>
        <sz val="7"/>
        <rFont val="Times New Roman"/>
        <family val="1"/>
      </rPr>
      <t xml:space="preserve">      </t>
    </r>
    <r>
      <rPr>
        <u/>
        <sz val="12"/>
        <rFont val="Times New Roman"/>
        <family val="1"/>
      </rPr>
      <t>Combined Revenue Neutral Rate &amp; Budget Hearing Notice</t>
    </r>
    <r>
      <rPr>
        <sz val="12"/>
        <rFont val="Times New Roman"/>
        <family val="1"/>
      </rPr>
      <t xml:space="preserve">: If the subdivision intends to hold a hearing to exceed the RNR, the subdivision may elect to publish the rate and budget hearing together.  This alternate publication may be used for that purpose.  Enter the required information into the green-shaded cells. Print and review the tab (Combined-Rate-Bud Hearing Notice). If correct, this document will be provided to the newspaper for publication. </t>
    </r>
    <r>
      <rPr>
        <b/>
        <sz val="12"/>
        <rFont val="Times New Roman"/>
        <family val="1"/>
      </rPr>
      <t>Warning:</t>
    </r>
    <r>
      <rPr>
        <sz val="12"/>
        <rFont val="Times New Roman"/>
        <family val="1"/>
      </rPr>
      <t xml:space="preserve"> The publication must occur at least 10 days prior to the budget hearing.  Additionally, the rate hearing information must be published to the taxing subdivision’s website, if maintained.  </t>
    </r>
  </si>
  <si>
    <r>
      <t>c.</t>
    </r>
    <r>
      <rPr>
        <sz val="7"/>
        <rFont val="Times New Roman"/>
        <family val="1"/>
      </rPr>
      <t xml:space="preserve">       </t>
    </r>
    <r>
      <rPr>
        <u/>
        <sz val="12"/>
        <rFont val="Times New Roman"/>
        <family val="1"/>
      </rPr>
      <t>Hearing to Exceed the Revenue Neutral Rate Notice Only</t>
    </r>
    <r>
      <rPr>
        <sz val="12"/>
        <rFont val="Times New Roman"/>
        <family val="1"/>
      </rPr>
      <t xml:space="preserve">: If the subdivision wishes to publish the hearing information to exceed the RNR separately, this alternate publication may be used.  Enter the required information into the green-shaded cells. Print and review the tab (RNR Hearing Notice). If correct, this document will be provided to the newspaper for publication. </t>
    </r>
    <r>
      <rPr>
        <b/>
        <sz val="12"/>
        <rFont val="Times New Roman"/>
        <family val="1"/>
      </rPr>
      <t>Warning:</t>
    </r>
    <r>
      <rPr>
        <sz val="12"/>
        <rFont val="Times New Roman"/>
        <family val="1"/>
      </rPr>
      <t xml:space="preserve"> The publication must occur at least 10 days prior to the budget hearing.  Additionally, the rate hearing information must be published to the taxing subdivision’s website, if maintained.  </t>
    </r>
  </si>
  <si>
    <r>
      <t>4.</t>
    </r>
    <r>
      <rPr>
        <sz val="12"/>
        <rFont val="Times New Roman"/>
        <family val="1"/>
      </rPr>
      <t xml:space="preserve"> </t>
    </r>
    <r>
      <rPr>
        <u/>
        <sz val="12"/>
        <rFont val="Times New Roman"/>
        <family val="1"/>
      </rPr>
      <t>Certificate (Cert)</t>
    </r>
    <r>
      <rPr>
        <sz val="12"/>
        <rFont val="Times New Roman"/>
        <family val="1"/>
      </rPr>
      <t xml:space="preserve">:  This document is populated with information entered on the fund tabs and input tabs.  If there is incorrect information on the Certificate, do </t>
    </r>
    <r>
      <rPr>
        <u/>
        <sz val="12"/>
        <rFont val="Times New Roman"/>
        <family val="1"/>
      </rPr>
      <t>not</t>
    </r>
    <r>
      <rPr>
        <sz val="12"/>
        <rFont val="Times New Roman"/>
        <family val="1"/>
      </rPr>
      <t xml:space="preserve"> correct the Certificate directly. Correct the fund or input tab that populates the information on the Certificate.  If you cannot correct the error, please contact Municipal Services for assistance. </t>
    </r>
  </si>
  <si>
    <r>
      <t>a.</t>
    </r>
    <r>
      <rPr>
        <sz val="7"/>
        <rFont val="Times New Roman"/>
        <family val="1"/>
      </rPr>
      <t xml:space="preserve">       </t>
    </r>
    <r>
      <rPr>
        <sz val="12"/>
        <rFont val="Times New Roman"/>
        <family val="1"/>
      </rPr>
      <t>If someone other than a municipal employee assists in preparing the budget, please enter the person's or firm's name and address in the green-shaded cells provided at the bottom left.</t>
    </r>
  </si>
  <si>
    <r>
      <t>b.</t>
    </r>
    <r>
      <rPr>
        <sz val="7"/>
        <rFont val="Times New Roman"/>
        <family val="1"/>
      </rPr>
      <t xml:space="preserve">      </t>
    </r>
    <r>
      <rPr>
        <sz val="12"/>
        <rFont val="Times New Roman"/>
        <family val="1"/>
      </rPr>
      <t xml:space="preserve">This is a required document and must be included in the adopted budget submitted to the County Clerk. </t>
    </r>
  </si>
  <si>
    <r>
      <t>5.</t>
    </r>
    <r>
      <rPr>
        <sz val="12"/>
        <rFont val="Times New Roman"/>
        <family val="1"/>
      </rPr>
      <t xml:space="preserve">  </t>
    </r>
    <r>
      <rPr>
        <u/>
        <sz val="12"/>
        <rFont val="Times New Roman"/>
        <family val="1"/>
      </rPr>
      <t>Allocation of MV, RV, 16/20M, Commercial Vehicle and Watercraft Tax Estimates (Mvalloc)</t>
    </r>
    <r>
      <rPr>
        <sz val="12"/>
        <rFont val="Times New Roman"/>
        <family val="1"/>
      </rPr>
      <t>: This information populated from the information entered on inputPrYr and inputOth.  Once calculated, the motor allocation information is linked to the applicable fund pages. If information concerning on this tab is not correct, do not make changes to this tab, but rather correct the information on inputPrYr and/or inputOth.</t>
    </r>
  </si>
  <si>
    <r>
      <t>a.</t>
    </r>
    <r>
      <rPr>
        <sz val="7"/>
        <rFont val="Times New Roman"/>
        <family val="1"/>
      </rPr>
      <t xml:space="preserve">       </t>
    </r>
    <r>
      <rPr>
        <sz val="12"/>
        <rFont val="Times New Roman"/>
        <family val="1"/>
      </rPr>
      <t xml:space="preserve">This is a required document and must be included in the adopted budget submitted to the County Clerk. </t>
    </r>
  </si>
  <si>
    <r>
      <t>6.</t>
    </r>
    <r>
      <rPr>
        <sz val="12"/>
        <rFont val="Times New Roman"/>
        <family val="1"/>
      </rPr>
      <t xml:space="preserve"> </t>
    </r>
    <r>
      <rPr>
        <u/>
        <sz val="12"/>
        <rFont val="Times New Roman"/>
        <family val="1"/>
      </rPr>
      <t>Schedule of Transfers (Transfers)</t>
    </r>
    <r>
      <rPr>
        <sz val="12"/>
        <rFont val="Times New Roman"/>
        <family val="1"/>
      </rPr>
      <t xml:space="preserve">:  This document reports all actual, current, and proposed transfers for the taxing subdivision. Provide the statute that authorizes the transfer. The Transfer Statutes (Transfer Statutes) tab lists applicable transfer statutes for reference. If Home Rule is applied, provide the charter ordinance number in place of the statute. </t>
    </r>
  </si>
  <si>
    <r>
      <t>a.</t>
    </r>
    <r>
      <rPr>
        <sz val="7"/>
        <rFont val="Times New Roman"/>
        <family val="1"/>
      </rPr>
      <t xml:space="preserve">      </t>
    </r>
    <r>
      <rPr>
        <sz val="12"/>
        <rFont val="Times New Roman"/>
        <family val="1"/>
      </rPr>
      <t xml:space="preserve">The transfers are totaled at the bottom of the schedule and the aggregate transfer amount is linked to the hearing notice pages.    </t>
    </r>
  </si>
  <si>
    <r>
      <t>b.</t>
    </r>
    <r>
      <rPr>
        <sz val="7"/>
        <rFont val="Times New Roman"/>
        <family val="1"/>
      </rPr>
      <t xml:space="preserve">       </t>
    </r>
    <r>
      <rPr>
        <sz val="12"/>
        <rFont val="Times New Roman"/>
        <family val="1"/>
      </rPr>
      <t xml:space="preserve">Adjustments are made for only those non-budgeted expenditure transfers appearing in the current and/or proposed columns of the schedule and do not have expenditures shown in the hearing notice current and proposed columns. These types of transfers are not truly an expenditure at this time and as such an adjustment is needed to show the taxpayers the actual expenditures for the municipality. </t>
    </r>
  </si>
  <si>
    <r>
      <t>c.</t>
    </r>
    <r>
      <rPr>
        <sz val="7"/>
        <rFont val="Times New Roman"/>
        <family val="1"/>
      </rPr>
      <t xml:space="preserve">      </t>
    </r>
    <r>
      <rPr>
        <sz val="12"/>
        <rFont val="Times New Roman"/>
        <family val="1"/>
      </rPr>
      <t>Each transfer listed must be recorded on the appropriate fund pages (tabs) the individual completed fund pages.</t>
    </r>
  </si>
  <si>
    <r>
      <t>d.</t>
    </r>
    <r>
      <rPr>
        <sz val="7"/>
        <rFont val="Times New Roman"/>
        <family val="1"/>
      </rPr>
      <t xml:space="preserve">       </t>
    </r>
    <r>
      <rPr>
        <sz val="12"/>
        <rFont val="Times New Roman"/>
        <family val="1"/>
      </rPr>
      <t xml:space="preserve">If there are no transfers, leave as zeroes. This document must be included in the adopted budget submitted to the County Clerk. </t>
    </r>
  </si>
  <si>
    <r>
      <t>7.</t>
    </r>
    <r>
      <rPr>
        <sz val="12"/>
        <rFont val="Times New Roman"/>
        <family val="1"/>
      </rPr>
      <t xml:space="preserve">  </t>
    </r>
    <r>
      <rPr>
        <u/>
        <sz val="12"/>
        <rFont val="Times New Roman"/>
        <family val="1"/>
      </rPr>
      <t>Statement of Indebtedness (Debt)</t>
    </r>
    <r>
      <rPr>
        <sz val="12"/>
        <rFont val="Times New Roman"/>
        <family val="1"/>
      </rPr>
      <t xml:space="preserve">: This document must show all of the debt owed or proposed to be issued.  The general obligation and revenue bond totals for the budget year are linked to the hearing notice pages.  </t>
    </r>
  </si>
  <si>
    <r>
      <t>a.</t>
    </r>
    <r>
      <rPr>
        <sz val="7"/>
        <rFont val="Times New Roman"/>
        <family val="1"/>
      </rPr>
      <t xml:space="preserve">       </t>
    </r>
    <r>
      <rPr>
        <sz val="12"/>
        <rFont val="Times New Roman"/>
        <family val="1"/>
      </rPr>
      <t xml:space="preserve">If the taxing subdivision does not have any debt, enter “None” on the first line. This document must be included in the adopted budget submitted to the County Clerk. </t>
    </r>
  </si>
  <si>
    <r>
      <t>8.</t>
    </r>
    <r>
      <rPr>
        <sz val="12"/>
        <rFont val="Times New Roman"/>
        <family val="1"/>
      </rPr>
      <t xml:space="preserve">  </t>
    </r>
    <r>
      <rPr>
        <u/>
        <sz val="12"/>
        <rFont val="Times New Roman"/>
        <family val="1"/>
      </rPr>
      <t>Statement of Conditional Lease, Lease-Purchases and Certificate of Participation (LP Form)</t>
    </r>
    <r>
      <rPr>
        <sz val="12"/>
        <rFont val="Times New Roman"/>
        <family val="1"/>
      </rPr>
      <t xml:space="preserve">: This document must be completed for all transactions in which the taxing subdivision intends to own the equipment.  Principal Balance Due for the actual year is linked to the hearing notice pages. </t>
    </r>
  </si>
  <si>
    <r>
      <t>a.</t>
    </r>
    <r>
      <rPr>
        <sz val="7"/>
        <rFont val="Times New Roman"/>
        <family val="1"/>
      </rPr>
      <t xml:space="preserve">       </t>
    </r>
    <r>
      <rPr>
        <sz val="12"/>
        <rFont val="Times New Roman"/>
        <family val="1"/>
      </rPr>
      <t>If the taxing subdivision does not have any leases, enter 'None' on the first line. This document must be included in the adopted budget submitted to the County Clerk.</t>
    </r>
  </si>
  <si>
    <r>
      <t>9.</t>
    </r>
    <r>
      <rPr>
        <sz val="12"/>
        <rFont val="Times New Roman"/>
        <family val="1"/>
      </rPr>
      <t xml:space="preserve"> </t>
    </r>
    <r>
      <rPr>
        <u/>
        <sz val="12"/>
        <rFont val="Times New Roman"/>
        <family val="1"/>
      </rPr>
      <t>Worksheet for State Grant-In-Aid to Public Libraries and Regional Library Systems (Library Grant)</t>
    </r>
    <r>
      <rPr>
        <sz val="12"/>
        <rFont val="Times New Roman"/>
        <family val="1"/>
      </rPr>
      <t xml:space="preserve">: This information is populated from the Library fund page and is used to determine if the municipality qualifies for a State grant. If qualified, the bottom of the Library fund page will say “Qualifies for State Library Grant” in red. If not qualified, it will say “See Library Grant tab.”  </t>
    </r>
  </si>
  <si>
    <r>
      <t>a.</t>
    </r>
    <r>
      <rPr>
        <sz val="7"/>
        <rFont val="Times New Roman"/>
        <family val="1"/>
      </rPr>
      <t xml:space="preserve">       </t>
    </r>
    <r>
      <rPr>
        <sz val="12"/>
        <rFont val="Times New Roman"/>
        <family val="1"/>
      </rPr>
      <t>For subdivisions with a library: If the Library fund page is used, the Certificate page will update the Table of Contents to show “Computation to Determine State Library Grant.” This worksheet will be a required document in the adopted budget submitted to the County Clerk.</t>
    </r>
  </si>
  <si>
    <r>
      <t>b.</t>
    </r>
    <r>
      <rPr>
        <sz val="7"/>
        <rFont val="Times New Roman"/>
        <family val="1"/>
      </rPr>
      <t xml:space="preserve">      </t>
    </r>
    <r>
      <rPr>
        <sz val="12"/>
        <rFont val="Times New Roman"/>
        <family val="1"/>
      </rPr>
      <t xml:space="preserve">For subdivisions without a library: No action is required, and this page </t>
    </r>
    <r>
      <rPr>
        <i/>
        <sz val="12"/>
        <rFont val="Times New Roman"/>
        <family val="1"/>
      </rPr>
      <t xml:space="preserve">does not </t>
    </r>
    <r>
      <rPr>
        <sz val="12"/>
        <rFont val="Times New Roman"/>
        <family val="1"/>
      </rPr>
      <t>need to be included in the adopted budget submitted to the County Clerk.</t>
    </r>
  </si>
  <si>
    <r>
      <t>10.</t>
    </r>
    <r>
      <rPr>
        <sz val="12"/>
        <rFont val="Times New Roman"/>
        <family val="1"/>
      </rPr>
      <t xml:space="preserve">  The budget workbook has individual fund sheets such as, but not limited to, General Fund (General), Debt Service and Library levy fund (DebtSvs-Library), levy funds (Levy Page #), Special Highway fund (Spec Hwy), non-levy funds (No Levy Page #) and single no levy funds (Single No Levy Page #).  Only complete the fund pages needed.  </t>
    </r>
    <r>
      <rPr>
        <b/>
        <u/>
        <sz val="12"/>
        <rFont val="Times New Roman"/>
        <family val="1"/>
      </rPr>
      <t>Do not delete unused pages.</t>
    </r>
    <r>
      <rPr>
        <sz val="12"/>
        <rFont val="Times New Roman"/>
        <family val="1"/>
      </rPr>
      <t xml:space="preserve"> When the fund pages are completed, the totals will be shown on the Certificate and hearing notice pages.</t>
    </r>
  </si>
  <si>
    <r>
      <t>a.</t>
    </r>
    <r>
      <rPr>
        <sz val="7"/>
        <rFont val="Times New Roman"/>
        <family val="1"/>
      </rPr>
      <t xml:space="preserve">       </t>
    </r>
    <r>
      <rPr>
        <sz val="12"/>
        <rFont val="Times New Roman"/>
        <family val="1"/>
      </rPr>
      <t>The page number for the General Fund and General Fund Detail do not prepopulate.  Once the page number is manually entered at the bottom of the General Fund page, the correct page number will auto-populate at the bottom of the General Fund Detail page. If the taxing subdivision has a Library Fund, the Library Grant page will auto-populate.</t>
    </r>
  </si>
  <si>
    <r>
      <t>b.</t>
    </r>
    <r>
      <rPr>
        <sz val="7"/>
        <rFont val="Times New Roman"/>
        <family val="1"/>
      </rPr>
      <t xml:space="preserve">      </t>
    </r>
    <r>
      <rPr>
        <sz val="12"/>
        <rFont val="Times New Roman"/>
        <family val="1"/>
      </rPr>
      <t xml:space="preserve">On all tax levy fund pages, see the “Projected Carryover” tool for the proposed budgeted year.   The carryover tool provides insight as what the projected cash might be using figures from the budget being submitted.  The figures used are only estimates and if the actual receipts or expenditures vary, the projected cash carryover will be affected.  </t>
    </r>
    <r>
      <rPr>
        <b/>
        <u/>
        <sz val="12"/>
        <rFont val="Times New Roman"/>
        <family val="1"/>
      </rPr>
      <t>Note</t>
    </r>
    <r>
      <rPr>
        <sz val="12"/>
        <rFont val="Times New Roman"/>
        <family val="1"/>
      </rPr>
      <t>: delinquent taxes are not included in the projected carryover as they have a major impact on the “Desired Carryover” tool.</t>
    </r>
  </si>
  <si>
    <r>
      <t>c.</t>
    </r>
    <r>
      <rPr>
        <sz val="7"/>
        <rFont val="Times New Roman"/>
        <family val="1"/>
      </rPr>
      <t xml:space="preserve">       </t>
    </r>
    <r>
      <rPr>
        <sz val="12"/>
        <rFont val="Times New Roman"/>
        <family val="1"/>
      </rPr>
      <t xml:space="preserve">On all tax levy fund page, see the “Desired Carryover” tool. This is used to estimate a desired carryover amount and show the estimated mill rate impact along with the expenditure adjustments required to reach the desired carryover.  </t>
    </r>
    <r>
      <rPr>
        <b/>
        <u/>
        <sz val="12"/>
        <rFont val="Times New Roman"/>
        <family val="1"/>
      </rPr>
      <t>Note</t>
    </r>
    <r>
      <rPr>
        <sz val="12"/>
        <rFont val="Times New Roman"/>
        <family val="1"/>
      </rPr>
      <t>: if a delinquency rate is used, the tool may require several adjustments to get the desired amount or close to the desire amount.</t>
    </r>
  </si>
  <si>
    <r>
      <t>d.</t>
    </r>
    <r>
      <rPr>
        <sz val="7"/>
        <rFont val="Times New Roman"/>
        <family val="1"/>
      </rPr>
      <t xml:space="preserve">      </t>
    </r>
    <r>
      <rPr>
        <sz val="12"/>
        <rFont val="Times New Roman"/>
        <family val="1"/>
      </rPr>
      <t xml:space="preserve">On all tax levy fund pages, we have placed “Estimated Mill Rate &amp; Revenue Neutral Rate Comparison” tool. This tool is used to illustrate and compare the fund rates (both estimated and current year) as well as the total rates (estimated and current year). Additionally, users will see the RNR to determine whether the process in KSA 79-2988 should be followed. If a RNR hearing is required, “Yes” will appear in a red box, and a red statement with additional instruction will appear. </t>
    </r>
  </si>
  <si>
    <r>
      <t>e.</t>
    </r>
    <r>
      <rPr>
        <sz val="7"/>
        <rFont val="Times New Roman"/>
        <family val="1"/>
      </rPr>
      <t xml:space="preserve">       </t>
    </r>
    <r>
      <rPr>
        <u/>
        <sz val="12"/>
        <rFont val="Times New Roman"/>
        <family val="1"/>
      </rPr>
      <t>General Detail Page (General Detail)</t>
    </r>
    <r>
      <rPr>
        <sz val="12"/>
        <rFont val="Times New Roman"/>
        <family val="1"/>
      </rPr>
      <t xml:space="preserve">:  This page shows detailed expenditures for the General Fund departments.  If used, you will input each department name and expenditures on this page </t>
    </r>
    <r>
      <rPr>
        <i/>
        <sz val="12"/>
        <rFont val="Times New Roman"/>
        <family val="1"/>
      </rPr>
      <t xml:space="preserve">and </t>
    </r>
    <r>
      <rPr>
        <sz val="12"/>
        <rFont val="Times New Roman"/>
        <family val="1"/>
      </rPr>
      <t xml:space="preserve">input the department name and </t>
    </r>
    <r>
      <rPr>
        <u/>
        <sz val="12"/>
        <rFont val="Times New Roman"/>
        <family val="1"/>
      </rPr>
      <t>total</t>
    </r>
    <r>
      <rPr>
        <sz val="12"/>
        <rFont val="Times New Roman"/>
        <family val="1"/>
      </rPr>
      <t xml:space="preserve"> expenditures on the General Fund page. Department transfers should be shown on the General Fund page only. Departments with like transfers may be shown together on the General Fund page as single line items. For example: if several departments have a transfer for equipment reserve, the total of all equipment reserve transfers should be shown on the General Fund page as “Transfer to Equipment Reserve” for each budgeted year.</t>
    </r>
  </si>
  <si>
    <r>
      <t>f.</t>
    </r>
    <r>
      <rPr>
        <sz val="7"/>
        <rFont val="Times New Roman"/>
        <family val="1"/>
      </rPr>
      <t xml:space="preserve">        </t>
    </r>
    <r>
      <rPr>
        <sz val="12"/>
        <rFont val="Times New Roman"/>
        <family val="1"/>
      </rPr>
      <t xml:space="preserve">Each tax levy fund will have an expenditure line for neighborhood revitalization.  Only input the rebate amounts for the </t>
    </r>
    <r>
      <rPr>
        <b/>
        <sz val="12"/>
        <rFont val="Times New Roman"/>
        <family val="1"/>
      </rPr>
      <t>actual and current year</t>
    </r>
    <r>
      <rPr>
        <sz val="12"/>
        <rFont val="Times New Roman"/>
        <family val="1"/>
      </rPr>
      <t xml:space="preserve">.  The proposed budget year amount will be computed for you. Please see step 12 for neighborhood revitalization rebate instructions for the proposed budget year. </t>
    </r>
  </si>
  <si>
    <r>
      <t>g.</t>
    </r>
    <r>
      <rPr>
        <sz val="7"/>
        <rFont val="Times New Roman"/>
        <family val="1"/>
      </rPr>
      <t xml:space="preserve">      </t>
    </r>
    <r>
      <rPr>
        <u/>
        <sz val="12"/>
        <rFont val="Times New Roman"/>
        <family val="1"/>
      </rPr>
      <t>Optional</t>
    </r>
    <r>
      <rPr>
        <sz val="12"/>
        <rFont val="Times New Roman"/>
        <family val="1"/>
      </rPr>
      <t xml:space="preserve">: All levy fund pages have a Non-Appropriated Balance cell. It is not mandatory enter an amount or the Non-Appropriated Balance.  KSA 79-2927 allows the taxing subdivision to enter an amount not to exceed 5% of the total expenditures for each fund. If the amount entered in the cell exceeds the 5%, a warning "Exceeds 5%" will appear and the block will turn red.  In order to remove this warning message, you must reduce the non-appropriated amount. </t>
    </r>
  </si>
  <si>
    <r>
      <t>h.</t>
    </r>
    <r>
      <rPr>
        <sz val="7"/>
        <rFont val="Times New Roman"/>
        <family val="1"/>
      </rPr>
      <t xml:space="preserve">      </t>
    </r>
    <r>
      <rPr>
        <sz val="12"/>
        <rFont val="Times New Roman"/>
        <family val="1"/>
      </rPr>
      <t xml:space="preserve">Each fund page has a “Miscellaneous” receipt and expenditure line item.  Once an amount has been entered into the cell for actual/current/proposed columns, the amount will be compared with either total expenditures or total receipts to determine if it exceeds the 10% Rule in KSA 79-2927.  If the amount exceeds the 10% Rule, the block will turn red, the amount bolded, and “Exceed 10% Rule” will appear in red.  To remove the statement and return the block to normal, you must reduce the amount to either 10% or less. </t>
    </r>
    <r>
      <rPr>
        <b/>
        <u/>
        <sz val="12"/>
        <rFont val="Times New Roman"/>
        <family val="1"/>
      </rPr>
      <t>Note</t>
    </r>
    <r>
      <rPr>
        <sz val="12"/>
        <rFont val="Times New Roman"/>
        <family val="1"/>
      </rPr>
      <t>: Under the proposed column, the miscellaneous receipt takes into consideration the amount of ad valorem taxes in determining the 10% Rule.</t>
    </r>
  </si>
  <si>
    <r>
      <t>i.</t>
    </r>
    <r>
      <rPr>
        <sz val="7"/>
        <rFont val="Times New Roman"/>
        <family val="1"/>
      </rPr>
      <t xml:space="preserve">        </t>
    </r>
    <r>
      <rPr>
        <u/>
        <sz val="12"/>
        <rFont val="Times New Roman"/>
        <family val="1"/>
      </rPr>
      <t>Debt Service fund page (DebtSvs-Library)</t>
    </r>
    <r>
      <rPr>
        <sz val="12"/>
        <rFont val="Times New Roman"/>
        <family val="1"/>
      </rPr>
      <t xml:space="preserve">: This fund page may contain all debts owed by the taxing subdivision and the amounts should agree with the Statement of Indebtedness amounts.  Debts that are pledged from a revenue stream should have enough funds transferred into the Debt Service fund to cover the bond principal and interest for these debts. </t>
    </r>
    <r>
      <rPr>
        <b/>
        <u/>
        <sz val="12"/>
        <rFont val="Times New Roman"/>
        <family val="1"/>
      </rPr>
      <t>Note</t>
    </r>
    <r>
      <rPr>
        <sz val="12"/>
        <rFont val="Times New Roman"/>
        <family val="1"/>
      </rPr>
      <t>: Debts pledged from revenue streams are not required to be included in the Debt Service fund page but can be paid from the fund in which the revenue stream is located. If the taxing subdivision has No Fund warrants, these can be included in the Debt Service fund page and levy taxes for this debt. No Fund warrants are not required to be included in the Debt Service fund and may have a separate Tax Levy Fund to account for them.</t>
    </r>
  </si>
  <si>
    <t xml:space="preserve">See step 9 for detailed instruction on the library fund. </t>
  </si>
  <si>
    <r>
      <t>j.</t>
    </r>
    <r>
      <rPr>
        <sz val="7"/>
        <rFont val="Times New Roman"/>
        <family val="1"/>
      </rPr>
      <t xml:space="preserve">        </t>
    </r>
    <r>
      <rPr>
        <u/>
        <sz val="12"/>
        <rFont val="Times New Roman"/>
        <family val="1"/>
      </rPr>
      <t>Funds with No Tax Levy fund page (No Levy Page #)</t>
    </r>
    <r>
      <rPr>
        <sz val="12"/>
        <rFont val="Times New Roman"/>
        <family val="1"/>
      </rPr>
      <t xml:space="preserve">:  These pages will be used to budget any fund that does not have the authority or need to levy an ad valorem property tax. These funds will have revenues of fees, sales tax, license, enterprise, etc.  </t>
    </r>
  </si>
  <si>
    <r>
      <t>k.</t>
    </r>
    <r>
      <rPr>
        <sz val="7"/>
        <rFont val="Times New Roman"/>
        <family val="1"/>
      </rPr>
      <t xml:space="preserve">      </t>
    </r>
    <r>
      <rPr>
        <u/>
        <sz val="12"/>
        <rFont val="Times New Roman"/>
        <family val="1"/>
      </rPr>
      <t>Single No Tax Levy fund page (Single No Levy Page #)</t>
    </r>
    <r>
      <rPr>
        <sz val="12"/>
        <rFont val="Times New Roman"/>
        <family val="1"/>
      </rPr>
      <t>: These pages are for funds with numerous lines for receipts or expenditures that do not fit on one of the other no levy fund pages.  Additional lines may be added as needed. Please contact Municipal Services for assistance.</t>
    </r>
  </si>
  <si>
    <r>
      <t>l.</t>
    </r>
    <r>
      <rPr>
        <sz val="7"/>
        <rFont val="Times New Roman"/>
        <family val="1"/>
      </rPr>
      <t xml:space="preserve">        </t>
    </r>
    <r>
      <rPr>
        <u/>
        <sz val="12"/>
        <rFont val="Times New Roman"/>
        <family val="1"/>
      </rPr>
      <t>Non-Budgeted Funds (Non-Budgeted Funds)</t>
    </r>
    <r>
      <rPr>
        <sz val="12"/>
        <rFont val="Times New Roman"/>
        <family val="1"/>
      </rPr>
      <t xml:space="preserve">: The non-budgeted funds are only required to show the actual year receipts and expenditures. The expenditures total will populate the hearing notice page. Normally, the unencumbered cash balance should end with a positive cash balance.  If it ends with a negative, the worksheet will indicate the negative balance by displaying “See Tab B” in red under the unencumbered cash balance. Use Tab B to determine if corrective action is available.  </t>
    </r>
  </si>
  <si>
    <r>
      <t>m.</t>
    </r>
    <r>
      <rPr>
        <sz val="7"/>
        <rFont val="Times New Roman"/>
        <family val="1"/>
      </rPr>
      <t xml:space="preserve">    </t>
    </r>
    <r>
      <rPr>
        <u/>
        <sz val="12"/>
        <rFont val="Times New Roman"/>
        <family val="1"/>
      </rPr>
      <t>Tab A and Tab B</t>
    </r>
    <r>
      <rPr>
        <sz val="12"/>
        <rFont val="Times New Roman"/>
        <family val="1"/>
      </rPr>
      <t xml:space="preserve">: If the </t>
    </r>
    <r>
      <rPr>
        <i/>
        <sz val="12"/>
        <rFont val="Times New Roman"/>
        <family val="1"/>
      </rPr>
      <t>prior year</t>
    </r>
    <r>
      <rPr>
        <sz val="12"/>
        <rFont val="Times New Roman"/>
        <family val="1"/>
      </rPr>
      <t xml:space="preserve"> total expenditures on any budgeted fund page exceeds the budget authority amount, "See Tab A" will appear in red to indicate a possible prior year budget law violation.  If a fund ended the prior year with a negative cash balance, "See Tab B" will appear in red to indicate a possible prior year cash basis law violation.  Use Tab A and Tab B to determine if corrective action is available.</t>
    </r>
  </si>
  <si>
    <r>
      <t>n.</t>
    </r>
    <r>
      <rPr>
        <sz val="7"/>
        <rFont val="Times New Roman"/>
        <family val="1"/>
      </rPr>
      <t xml:space="preserve">      </t>
    </r>
    <r>
      <rPr>
        <u/>
        <sz val="12"/>
        <rFont val="Times New Roman"/>
        <family val="1"/>
      </rPr>
      <t>Tab C and Tab D</t>
    </r>
    <r>
      <rPr>
        <sz val="12"/>
        <rFont val="Times New Roman"/>
        <family val="1"/>
      </rPr>
      <t xml:space="preserve">: If the </t>
    </r>
    <r>
      <rPr>
        <i/>
        <sz val="12"/>
        <rFont val="Times New Roman"/>
        <family val="1"/>
      </rPr>
      <t>current year</t>
    </r>
    <r>
      <rPr>
        <sz val="12"/>
        <rFont val="Times New Roman"/>
        <family val="1"/>
      </rPr>
      <t xml:space="preserve"> adjusted expenditures on any budgeted fund page exceeds the budget authority amount, “See Tab C” will appear in red to indicate a possible current year budget law violation. If a fund ends the current year with a negative cash balance "See Tab D" will appear in red to indicate a possible current year cash basis law violation. Use Tab C and Tab D to determine if corrective action is available.</t>
    </r>
  </si>
  <si>
    <r>
      <t>o.</t>
    </r>
    <r>
      <rPr>
        <sz val="7"/>
        <rFont val="Times New Roman"/>
        <family val="1"/>
      </rPr>
      <t xml:space="preserve">      </t>
    </r>
    <r>
      <rPr>
        <u/>
        <sz val="12"/>
        <rFont val="Times New Roman"/>
        <family val="1"/>
      </rPr>
      <t>Tab E</t>
    </r>
    <r>
      <rPr>
        <sz val="12"/>
        <rFont val="Times New Roman"/>
        <family val="1"/>
      </rPr>
      <t xml:space="preserve">: If the </t>
    </r>
    <r>
      <rPr>
        <i/>
        <sz val="12"/>
        <rFont val="Times New Roman"/>
        <family val="1"/>
      </rPr>
      <t>proposed budget</t>
    </r>
    <r>
      <rPr>
        <sz val="12"/>
        <rFont val="Times New Roman"/>
        <family val="1"/>
      </rPr>
      <t xml:space="preserve"> cash balance is negative, “See Tab E” will appear in red to indicate a possible proposed budget year budget law violation. Use Tab E to determine if corrective action is available. </t>
    </r>
  </si>
  <si>
    <r>
      <t>11.</t>
    </r>
    <r>
      <rPr>
        <sz val="12"/>
        <rFont val="Times New Roman"/>
        <family val="1"/>
      </rPr>
      <t xml:space="preserve">  </t>
    </r>
    <r>
      <rPr>
        <u/>
        <sz val="12"/>
        <rFont val="Times New Roman"/>
        <family val="1"/>
      </rPr>
      <t>Hearing Notices (Budget Hearing Notice), (Combined Rate-Bud Hearing Notice), (RNR Hearing Notice)</t>
    </r>
    <r>
      <rPr>
        <sz val="12"/>
        <rFont val="Times New Roman"/>
        <family val="1"/>
      </rPr>
      <t xml:space="preserve">: These pages will populate the required information from other worksheets.  If you find information that is not correct, please go to the worksheet from which the information originates to make the correction. If you cannot correct the error, please contact Municipal Services for assistance.   </t>
    </r>
  </si>
  <si>
    <r>
      <t>a.</t>
    </r>
    <r>
      <rPr>
        <sz val="7"/>
        <rFont val="Times New Roman"/>
        <family val="1"/>
      </rPr>
      <t xml:space="preserve">       </t>
    </r>
    <r>
      <rPr>
        <sz val="12"/>
        <rFont val="Times New Roman"/>
        <family val="1"/>
      </rPr>
      <t>The inputHearing tab is used to place information on the respective hearing notice options.  On input tab you will key in the following information: Name of Person presenting the budget, Title of Person, date the budget hearing will be held, time of the hearing, location of the budget hearing, and a place whereas the taxpayers can obtain a copy of the budget.</t>
    </r>
  </si>
  <si>
    <r>
      <t>b.</t>
    </r>
    <r>
      <rPr>
        <sz val="7"/>
        <rFont val="Times New Roman"/>
        <family val="1"/>
      </rPr>
      <t xml:space="preserve">      </t>
    </r>
    <r>
      <rPr>
        <sz val="12"/>
        <rFont val="Times New Roman"/>
        <family val="1"/>
      </rPr>
      <t>At the bottom of the hearing notice pages is a green-shaded cell, enter the page number.</t>
    </r>
  </si>
  <si>
    <r>
      <t>c.</t>
    </r>
    <r>
      <rPr>
        <sz val="7"/>
        <rFont val="Times New Roman"/>
        <family val="1"/>
      </rPr>
      <t xml:space="preserve">       </t>
    </r>
    <r>
      <rPr>
        <u/>
        <sz val="12"/>
        <rFont val="Times New Roman"/>
        <family val="1"/>
      </rPr>
      <t>Optional Tools</t>
    </r>
    <r>
      <rPr>
        <sz val="12"/>
        <rFont val="Times New Roman"/>
        <family val="1"/>
      </rPr>
      <t>: The following tools are not required to be used but are designed for different budget targets.</t>
    </r>
  </si>
  <si>
    <r>
      <t xml:space="preserve"> </t>
    </r>
    <r>
      <rPr>
        <sz val="12"/>
        <rFont val="Times New Roman"/>
        <family val="1"/>
      </rPr>
      <t>i.</t>
    </r>
    <r>
      <rPr>
        <sz val="7"/>
        <rFont val="Times New Roman"/>
        <family val="1"/>
      </rPr>
      <t xml:space="preserve">      </t>
    </r>
    <r>
      <rPr>
        <sz val="12"/>
        <rFont val="Times New Roman"/>
        <family val="1"/>
      </rPr>
      <t xml:space="preserve">The “Estimated Value of One Mill” tool shows what 1 mill rate would generate in dollars for the municipality, based on the estimated valuation input on the inputOth tab.  </t>
    </r>
  </si>
  <si>
    <r>
      <rPr>
        <sz val="12"/>
        <rFont val="Times New Roman"/>
        <family val="1"/>
      </rPr>
      <t>ii.</t>
    </r>
    <r>
      <rPr>
        <sz val="7"/>
        <rFont val="Times New Roman"/>
        <family val="1"/>
      </rPr>
      <t xml:space="preserve">      </t>
    </r>
    <r>
      <rPr>
        <sz val="12"/>
        <rFont val="Times New Roman"/>
        <family val="1"/>
      </rPr>
      <t xml:space="preserve">The “What the Mill Rate the Same As” and “Impact on Keeping the Same Mill Rate” tools show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tax levy fund expenditures.  </t>
    </r>
    <r>
      <rPr>
        <u/>
        <sz val="12"/>
        <rFont val="Times New Roman"/>
        <family val="1"/>
      </rPr>
      <t>Note</t>
    </r>
    <r>
      <rPr>
        <sz val="12"/>
        <rFont val="Times New Roman"/>
        <family val="1"/>
      </rPr>
      <t xml:space="preserve">: If a delinquency rate is used on the tax levy fund pages, the tool may require several adjustments to get the desired result or close to the desired amount. </t>
    </r>
  </si>
  <si>
    <r>
      <rPr>
        <sz val="12"/>
        <rFont val="Times New Roman"/>
        <family val="1"/>
      </rPr>
      <t>iii.</t>
    </r>
    <r>
      <rPr>
        <sz val="7"/>
        <rFont val="Times New Roman"/>
        <family val="1"/>
      </rPr>
      <t xml:space="preserve">      </t>
    </r>
    <r>
      <rPr>
        <sz val="12"/>
        <rFont val="Times New Roman"/>
        <family val="1"/>
      </rPr>
      <t>The “Mill Rate Estimates versus Mill Rate Target” tool allows the municipality to enter a target mill rate and compare such rate with the estimated rate, as well as the RNR.  This tool will show the amount of expenditure adjustments required to hit the rate target. If a rate hearing/resolution is required based on the estimated mill rate, a red warning “Yes” and a statement “Follow procedure prescribed by KSA 79-2988 to exceed the Revenue Neutral Rate” will appear.</t>
    </r>
  </si>
  <si>
    <r>
      <t>d.</t>
    </r>
    <r>
      <rPr>
        <sz val="7"/>
        <rFont val="Times New Roman"/>
        <family val="1"/>
      </rPr>
      <t xml:space="preserve">      </t>
    </r>
    <r>
      <rPr>
        <sz val="12"/>
        <rFont val="Times New Roman"/>
        <family val="1"/>
      </rPr>
      <t xml:space="preserve"> Before printing, review the selected hearing notice to ensure the information has accurately populated and the figures are correct. Print the page, have an official sign it, and submit to the local newspaper for printing. For those municipalities that are electronically sending the summary to the newspaper, you can type in the official name before sending.  Signing the document is desired, but not signing will not cause the municipality to reprint. </t>
    </r>
    <r>
      <rPr>
        <b/>
        <sz val="12"/>
        <rFont val="Times New Roman"/>
        <family val="1"/>
      </rPr>
      <t>WARNING</t>
    </r>
    <r>
      <rPr>
        <sz val="12"/>
        <rFont val="Times New Roman"/>
        <family val="1"/>
      </rPr>
      <t>: The newspaper publication must occur at least 10 days prior to the hearing date.  If the newspaper publication is not at least 10 days prior to the hearing, the municipality may need to republish.</t>
    </r>
  </si>
  <si>
    <t xml:space="preserve">Once the hearing notice has been printed in the local newspaper, please review the notice to ensure the information was correctly printed and readable.  If the information is not correct, the notice may need to be republished, and may delay the submission of the budget to the County Clerk and the timeline prescribed by KSA 79-2988 to exceed the RNR. </t>
  </si>
  <si>
    <r>
      <t>12.</t>
    </r>
    <r>
      <rPr>
        <sz val="12"/>
        <rFont val="Times New Roman"/>
        <family val="1"/>
      </rPr>
      <t xml:space="preserve"> </t>
    </r>
    <r>
      <rPr>
        <u/>
        <sz val="12"/>
        <rFont val="Times New Roman"/>
        <family val="1"/>
      </rPr>
      <t>Neighborhood Revitalization (NR Rebate)</t>
    </r>
    <r>
      <rPr>
        <sz val="12"/>
        <rFont val="Times New Roman"/>
        <family val="1"/>
      </rPr>
      <t xml:space="preserve">: This document should be completed only after all tax levy fund pages have been completed and the estimated levy rates have been computed on the Budget Summary page.  The ad valorem amounts for each fund will be input into the neighborhood revitalization tool.  The tool will compute the estimated amount of rebate and populate the estimated rebate to each tax levy fund page. This will cause each tax levy fund to have an entry in the neighborhood revitalization expenditure cell, increase the total expenditures amount, recompute the ad valorem needed, and populate the new amount to the hearing notice page.  </t>
    </r>
  </si>
  <si>
    <r>
      <t>Note</t>
    </r>
    <r>
      <rPr>
        <sz val="12"/>
        <rFont val="Times New Roman"/>
        <family val="1"/>
      </rPr>
      <t>: If you had already set the ad valorem taxes so that they were equal to or below the Revenue Neutral Rate (RNR), the neighborhood revitalization rebate could cause the ad valorem tax amount to exceed RNR. If this occurs, you have three options:1) accept the rebate expenditures and pass the RNR resolution; 2) accept the rebate expenditures and reduce other expenditures to reduce ad valorem tax dollars below the RNR threshold; or 3) do not use the rebate expenditures by deleting the ad valorem taxes that were keyed into the Neighborhood Revitalization tool.</t>
    </r>
  </si>
  <si>
    <r>
      <t>a.</t>
    </r>
    <r>
      <rPr>
        <sz val="7"/>
        <rFont val="Times New Roman"/>
        <family val="1"/>
      </rPr>
      <t xml:space="preserve">       </t>
    </r>
    <r>
      <rPr>
        <sz val="12"/>
        <rFont val="Times New Roman"/>
        <family val="1"/>
      </rPr>
      <t xml:space="preserve">You are </t>
    </r>
    <r>
      <rPr>
        <i/>
        <sz val="12"/>
        <rFont val="Times New Roman"/>
        <family val="1"/>
      </rPr>
      <t>not</t>
    </r>
    <r>
      <rPr>
        <sz val="12"/>
        <rFont val="Times New Roman"/>
        <family val="1"/>
      </rPr>
      <t xml:space="preserve"> required to use the Neighborhood Revitalization tool. The tool can be used to estimate the amount of the rebate so that you will have an idea of the amount of ad valorem taxes you will not be receiving. If the municipality chooses not to use the tool, another method of estimating the Neighborhood Revitalization rebate impact should be substituted.</t>
    </r>
  </si>
  <si>
    <r>
      <t>b.</t>
    </r>
    <r>
      <rPr>
        <sz val="7"/>
        <rFont val="Times New Roman"/>
        <family val="1"/>
      </rPr>
      <t xml:space="preserve">      </t>
    </r>
    <r>
      <rPr>
        <sz val="12"/>
        <rFont val="Times New Roman"/>
        <family val="1"/>
      </rPr>
      <t xml:space="preserve"> If you do not have Neighborhood Revitalization, you do not need to include this page with the adopted budget submitted to the County Clerk. </t>
    </r>
  </si>
  <si>
    <r>
      <t>13.</t>
    </r>
    <r>
      <rPr>
        <sz val="12"/>
        <rFont val="Times New Roman"/>
        <family val="1"/>
      </rPr>
      <t xml:space="preserve">  Before submission of the budget to the County Clerk, please review the entire document and verify that all amounts are correct.  In addition, the Certificate page needs to be signed by at least one member of the governing body (signatures from the entire governing body are preferred, but not mandatory). </t>
    </r>
  </si>
  <si>
    <r>
      <t>14.</t>
    </r>
    <r>
      <rPr>
        <sz val="12"/>
        <rFont val="Times New Roman"/>
        <family val="1"/>
      </rPr>
      <t xml:space="preserve">  How to Protect and Unprotect a Worksheet: To Unprotect a worksheet, right-click on the tab and select Unprotect Sheet. </t>
    </r>
    <r>
      <rPr>
        <b/>
        <sz val="12"/>
        <color rgb="FFFF0000"/>
        <rFont val="Times New Roman"/>
        <family val="1"/>
      </rPr>
      <t xml:space="preserve">After changes are made you must protect the worksheet. </t>
    </r>
    <r>
      <rPr>
        <sz val="12"/>
        <color rgb="FFFF0000"/>
        <rFont val="Times New Roman"/>
        <family val="1"/>
      </rPr>
      <t xml:space="preserve"> </t>
    </r>
    <r>
      <rPr>
        <sz val="12"/>
        <rFont val="Times New Roman"/>
        <family val="1"/>
      </rPr>
      <t xml:space="preserve">Right click on the tab, select Protect Sheet and hit OK. You do not need to enter a password. Select OK. </t>
    </r>
  </si>
  <si>
    <t>Tab E</t>
  </si>
  <si>
    <t>Tab A</t>
  </si>
  <si>
    <t>Tab B</t>
  </si>
  <si>
    <t>Tab C</t>
  </si>
  <si>
    <t>Tab D</t>
  </si>
  <si>
    <t xml:space="preserve">1. Budget instructions were updated. </t>
  </si>
  <si>
    <t>2. Basic and consistent formatting throughout (including updating fonts, consistent language and print areas)</t>
  </si>
  <si>
    <t>3. Removed (by hiding rows - data is still present in background) new improvements, personal property, terrotory added, changed use, and expiration of tax abatements on "Input Oth" tab</t>
  </si>
  <si>
    <t>4. Updated budget hearing input tab to include inputs for combined hearing notice and rate only notice. Retitled tab "InputBudHearing"</t>
  </si>
  <si>
    <t>5. Updated Budget Hearing Tab formating and consistency</t>
  </si>
  <si>
    <t xml:space="preserve">6. Added alternate Combined Rate and Budget Hearing notice tab for subdivisions that will publish and hold the RNR rate and budget hearing in conjunction with eachother. </t>
  </si>
  <si>
    <t>7. Added RNR Hearing Notice for an optional publication for the RNR hearing only</t>
  </si>
  <si>
    <t xml:space="preserve">8. Added sample resolution to exceed RNR and sample notice to county clerk to report intention to exceed RNR. </t>
  </si>
  <si>
    <t xml:space="preserve">9. Updated helpful links to provide accurate weblinks. </t>
  </si>
  <si>
    <t>https://admin.ks.gov/offices/accounts-reports/local-government/municipal-services</t>
  </si>
  <si>
    <t>https://admin.ks.gov/offices/accounts-reports/state-agencies/finance/setoff-program</t>
  </si>
  <si>
    <t>League of Kansas Municipalities</t>
  </si>
  <si>
    <t>https://www.lkm.org/</t>
  </si>
  <si>
    <t>http://www.kslegislature.org/li/</t>
  </si>
  <si>
    <t>https://ag.ks.gov/media-center/ag-opinions</t>
  </si>
  <si>
    <t>Kansas State Treasurer</t>
  </si>
  <si>
    <t>https://www.kansasstatetreasurer.com/fin_serv.html</t>
  </si>
  <si>
    <t>https://www.ksrevenue.gov/</t>
  </si>
  <si>
    <t>https://www.ksrevenue.gov/pvdindex.html</t>
  </si>
  <si>
    <t>https://pooledmoneyinvestmentboard.com/</t>
  </si>
  <si>
    <t>From the Municipal Services Website (Budget Workbooks and Tax Estimates)</t>
  </si>
  <si>
    <t>Public Hearing Input Options</t>
  </si>
  <si>
    <t>Input Examples</t>
  </si>
  <si>
    <r>
      <t xml:space="preserve">This tab will populate the date, time and location of the public hearing on the selected hearing pages, as well as other required information. Please enter the relevant information in the GREEN cells.
Please review the sections below to determine which hearing notice best fits the needs of the taxing subdivision.  Please contact Municipal Services with questions. 
</t>
    </r>
    <r>
      <rPr>
        <b/>
        <sz val="12"/>
        <rFont val="Times New Roman"/>
        <family val="1"/>
      </rPr>
      <t xml:space="preserve">WARNING: Prior to providing newspaper with hearing notice, review all of the information has properly been input and linked to the publication draft. </t>
    </r>
    <r>
      <rPr>
        <sz val="12"/>
        <rFont val="Times New Roman"/>
        <family val="1"/>
      </rPr>
      <t xml:space="preserve">
</t>
    </r>
  </si>
  <si>
    <t>August 12, 2022</t>
  </si>
  <si>
    <t>Budget Hearing Notice Only</t>
  </si>
  <si>
    <t xml:space="preserve">Taxing subdivisions that do not require a hearing to exceed the revenue neutral rate or will hold/publish the rate hearing separately from the budget hearing, please complete the information in green cells of the "Budget Hearing Notice Only" section. 
You will print the tab "Budget Hearing Notice" and publish this notice in the newspaper at least 10 days prior to the budget hearing. </t>
  </si>
  <si>
    <t xml:space="preserve">Reminder: The notice of hearing must be published at least 10 days prior to hearing date. </t>
  </si>
  <si>
    <t>Budget Available at:</t>
  </si>
  <si>
    <t>Combined Revenue Neutral Rate &amp; Budget Hearing Notice</t>
  </si>
  <si>
    <t xml:space="preserve">Taxing subdivisions that wish to hold a hearing to exceed the revenue neutral rate in conjunction with the regular budget hearing should complete the green cells in the section called "Combined Rate &amp; Budget Hearing Notice". 
You will print the tab called "Combined Rate-Bud Hearing Notice" and publish this notice in the newspaper at least 10 days prior to the hearing date. Addittionally, the taxing subdivision will publish a notice of hearing to exceed the RNR to their website (if maintained).  </t>
  </si>
  <si>
    <t>`</t>
  </si>
  <si>
    <t>Hearing to Exceed the Revenue Neutral Rate Notice Only</t>
  </si>
  <si>
    <t xml:space="preserve">If the taxing subdivisin wishes to hold or publish the hearing to exceed the revenue neutral rate separate from the budget hearing, the subdivision may choose the alternate publication "Hearing to Exceed the Revenue Neutral Rate". Note: If using this option, the subdivision MUST also publish the buget hearing notice. </t>
  </si>
  <si>
    <t>Budget Hearing Notice</t>
  </si>
  <si>
    <t>Combined Rate and Budget Hearing Notice</t>
  </si>
  <si>
    <t>RNR Hearing Notice</t>
  </si>
  <si>
    <t>***If leasing/renting with no intent to purchase, do not list--such transactions are not lease-purchases.</t>
  </si>
  <si>
    <t>Principal Balance</t>
  </si>
  <si>
    <t>As Beginning of</t>
  </si>
  <si>
    <r>
      <t>As provided in KSA 79-2553</t>
    </r>
    <r>
      <rPr>
        <i/>
        <sz val="12"/>
        <rFont val="Times New Roman"/>
        <family val="1"/>
      </rPr>
      <t xml:space="preserve"> et seq., </t>
    </r>
    <r>
      <rPr>
        <sz val="12"/>
        <rFont val="Times New Roman"/>
        <family val="1"/>
      </rPr>
      <t>two tests are used to determine eligibility for State Library Grant.  If the grant is approved, then the municipality's library will be paid the grant on February 15 of  each year.</t>
    </r>
  </si>
  <si>
    <t>completing the Neighborhood Revitalization Rebate table.</t>
  </si>
  <si>
    <t>This resolution shall take effect and be in force immediately upon its adoption and shall remain in effect until future action is taken by the Governing Body.</t>
  </si>
  <si>
    <r>
      <t xml:space="preserve">          </t>
    </r>
    <r>
      <rPr>
        <b/>
        <sz val="12"/>
        <rFont val="Times New Roman"/>
        <family val="1"/>
      </rPr>
      <t>ADOPTED</t>
    </r>
    <r>
      <rPr>
        <sz val="12"/>
        <rFont val="Times New Roman"/>
        <family val="1"/>
      </rPr>
      <t xml:space="preserve"> this ____ day of ___________ (month and year) and SIGNED by the Mayor.</t>
    </r>
  </si>
  <si>
    <t xml:space="preserve">          _____________________________</t>
  </si>
  <si>
    <t xml:space="preserve">          Mayor</t>
  </si>
  <si>
    <t xml:space="preserve">          Attested:</t>
  </si>
  <si>
    <t xml:space="preserve">          ______________________________</t>
  </si>
  <si>
    <t xml:space="preserve">          City Clerk</t>
  </si>
  <si>
    <t>Notice of Revenue Neutral Rate Intent</t>
  </si>
  <si>
    <t>WITNESS my hand and official seal on ____________, 20___.</t>
  </si>
  <si>
    <t>(Seal)</t>
  </si>
  <si>
    <t>Clerk or Officer of Governing Body</t>
  </si>
  <si>
    <t>**Revenue Neutral Rate as defined by KSA 79-2988</t>
  </si>
  <si>
    <t>Budget Authority for Expenditures</t>
  </si>
  <si>
    <t>Actual Tax Rate *</t>
  </si>
  <si>
    <t>Proposed Estimated Tax Rate *</t>
  </si>
  <si>
    <t>Estimated Mill Rate &amp;
 Revenue Neutral Rate Comparison</t>
  </si>
  <si>
    <t>Revenue Neutral Rate (KSA 79-2988)</t>
  </si>
  <si>
    <t>Is a rate hearing/resolution required:</t>
  </si>
  <si>
    <t>Less 2021 Expenditures</t>
  </si>
  <si>
    <t xml:space="preserve">Is rate hearing/resolution required to exceed Revenue Neutral Rate? </t>
  </si>
  <si>
    <t>NOTICE OF HEARING TO EXCEED REVENUE NEUTRAL RATE</t>
  </si>
  <si>
    <t>answering objections of taxpayers relating to revenue neutral rate and proposed tax rate, as required by KSA 79-2988.</t>
  </si>
  <si>
    <t>SUPPORTING COUNTIES</t>
  </si>
  <si>
    <t>Revenue Neutral Rate*</t>
  </si>
  <si>
    <t>Proposed Tax Rate</t>
  </si>
  <si>
    <t>Tax Rates are expressed in mills</t>
  </si>
  <si>
    <t>* Revenue Netural Rate as defined by KSA 79-2988</t>
  </si>
  <si>
    <t>NOTICE OF HEARING TO EXCEED REVENUE NEUTRAL RATE AND BUDGET HEARING</t>
  </si>
  <si>
    <t>Final Tax Rate (County Clerk's Use Only)</t>
  </si>
  <si>
    <t xml:space="preserve">Revenue Neutral Rate </t>
  </si>
  <si>
    <t xml:space="preserve">In short, you are looking at a potential budget law violation. However, the good news is that you </t>
  </si>
  <si>
    <t>may have options available that will allow you to avoid a budget law violation.</t>
  </si>
  <si>
    <r>
      <t xml:space="preserve">If the municipality financial records have </t>
    </r>
    <r>
      <rPr>
        <b/>
        <u/>
        <sz val="12"/>
        <rFont val="Times New Roman"/>
        <family val="1"/>
      </rPr>
      <t>not been</t>
    </r>
    <r>
      <rPr>
        <sz val="12"/>
        <rFont val="Times New Roman"/>
        <family val="1"/>
      </rPr>
      <t xml:space="preserve"> closed (i.e. an audit has not been completed,</t>
    </r>
  </si>
  <si>
    <t>can be fixed before submission of the budget to the county clerk.</t>
  </si>
  <si>
    <t xml:space="preserve">First, review the input page information (inputPrYr tab) to ensure that the correct amount was </t>
  </si>
  <si>
    <t>higher budget amount?</t>
  </si>
  <si>
    <t>are you showing any transfers from this fund to another?  If so, consider whether you can reduce</t>
  </si>
  <si>
    <t>or eliminate one or more transfers.</t>
  </si>
  <si>
    <t>showing the reimbursement as a receipt, show the reimbursement as a negative expenditure.</t>
  </si>
  <si>
    <t>Another option is to consider whether your fund shares expenditures with another fund.  For</t>
  </si>
  <si>
    <t xml:space="preserve"> example, your electric and water funds may split salaries between the two funds.  If one of those </t>
  </si>
  <si>
    <t>funds is in trouble, you might be able to allocate a little more in salaries to the healthy fund in order</t>
  </si>
  <si>
    <t>to eliminate the violation (but be sure that the healthy fund has sufficient budget authority and cash</t>
  </si>
  <si>
    <t xml:space="preserve">The shifting of expenditures between funds, as described in the preceding paragraph, can be </t>
  </si>
  <si>
    <t>accomplished between any funds that share expenses.</t>
  </si>
  <si>
    <t>Finally, if your general fund is healthy - it has enough budget authority and cash - then it might be</t>
  </si>
  <si>
    <t>used to cover the excess expenditures. (AGO No. 85-181)</t>
  </si>
  <si>
    <t>Amending the budget is a timing issue.  In order to amend the budget, you must have the complete</t>
  </si>
  <si>
    <t>amending process completed before the end of the calandar year.  If you start at the beginning of</t>
  </si>
  <si>
    <t>December, then you should have enough time to amend the budget.  But, if started during the middle</t>
  </si>
  <si>
    <t>of December, then you might not have enough time to complete the amending process.  Remember</t>
  </si>
  <si>
    <t xml:space="preserve">the complete processing must be completed on or before the end of December and you must have </t>
  </si>
  <si>
    <t xml:space="preserve">at least 10 days between when published in local newspaper and when the budget hearing is held. </t>
  </si>
  <si>
    <t>So, if your local newspaper only publishes once a week or bi-weekly, then there might not be time</t>
  </si>
  <si>
    <t>enough to have the 10 day requirement between publication and the hearing.</t>
  </si>
  <si>
    <t xml:space="preserve">Amending the budget can be done at any time during the budgeted year.  But, amending the budget </t>
  </si>
  <si>
    <t>should take place before the expenditures exceed the budget authority.</t>
  </si>
  <si>
    <t>No punitive action will be taken as a result of the violation, but you should determine what caused</t>
  </si>
  <si>
    <t>the violation and take steps to avoid future violations of this nature.</t>
  </si>
  <si>
    <t>finished the year with a negative unencumbered cash balance in this fund.</t>
  </si>
  <si>
    <t>However, the good news is that you may have one or more options available that will allow you to</t>
  </si>
  <si>
    <t>Hopefully not. The first thing that you might do is to review K.S.A. 10-1116 to see if your fund</t>
  </si>
  <si>
    <t xml:space="preserve">might be one of those for which a negative cash balance is permitted. </t>
  </si>
  <si>
    <t xml:space="preserve">If the fund falls into one of the categories, then a cash basis law violation has not occurred. Please </t>
  </si>
  <si>
    <t>annotate to the left of the 'See Tab B' as follows:  "10-1116 applies."</t>
  </si>
  <si>
    <r>
      <t xml:space="preserve">What if K.S.A. 10-1116 </t>
    </r>
    <r>
      <rPr>
        <b/>
        <i/>
        <sz val="12"/>
        <rFont val="Times New Roman"/>
        <family val="1"/>
      </rPr>
      <t>does not</t>
    </r>
    <r>
      <rPr>
        <b/>
        <sz val="12"/>
        <rFont val="Times New Roman"/>
        <family val="1"/>
      </rPr>
      <t xml:space="preserve"> apply?</t>
    </r>
  </si>
  <si>
    <t xml:space="preserve">If the fund does not fall into one of the categories, then let's explore your options (below) to see if </t>
  </si>
  <si>
    <t>we can help you avoid a cash basis law violation.</t>
  </si>
  <si>
    <t xml:space="preserve">need to be increased (transfer from another fund) or your expenditures will need to be decreased </t>
  </si>
  <si>
    <t>(shifting of expenditures to another fund), or a combination of the two.</t>
  </si>
  <si>
    <t>Increasing your receipts through one or more transfers is contingent upon the available cash, budget</t>
  </si>
  <si>
    <t>authority, and statutory authority for the transfer from the fund or funds from which one or more</t>
  </si>
  <si>
    <t>transfers might be made.</t>
  </si>
  <si>
    <t xml:space="preserve">Another option for you to consider is the shifting of expenditures from this fund to another fund. </t>
  </si>
  <si>
    <t xml:space="preserve">Again, the fund to which expenditures are shifted must have available cash and budget authority in </t>
  </si>
  <si>
    <t xml:space="preserve">order to absorb the additional expenditures.  </t>
  </si>
  <si>
    <t>What if K.S.A. 10-1116 does not apply and no options are available to me?</t>
  </si>
  <si>
    <t xml:space="preserve">Unfortunately, under this scenario you are pretty much stuck with a cash basis law violation.  </t>
  </si>
  <si>
    <t>However, you can accept the violation as a learning tool to help you prevent violations in the future.</t>
  </si>
  <si>
    <t>Regular reviews of current year budget performance, especially from the end of the third quarter on,</t>
  </si>
  <si>
    <t xml:space="preserve">might allow you to determine in a timely fashion whether an increase in revenue or a decrease in </t>
  </si>
  <si>
    <t>expenditures is going to be needed before the end of the fiscal year in order to ensure that a fund</t>
  </si>
  <si>
    <t>finishes the year in good shape.</t>
  </si>
  <si>
    <t xml:space="preserve">In addition to the options discussed above, during the later part of the year if a utility fund or the </t>
  </si>
  <si>
    <t>general fund has the cash, but not the budget authority, amending the budget might be done in order</t>
  </si>
  <si>
    <t>to increase budget authority so that a transfer can then be made to the struggling fund or, in the case</t>
  </si>
  <si>
    <t xml:space="preserve">of the general fund, there can be a shifting of expenditures from the struggling fund to the general </t>
  </si>
  <si>
    <t xml:space="preserve">If, in the future, you choose to amend the budget as described in the paragraph above, please </t>
  </si>
  <si>
    <t>remember that the amendment must occur before the end of the fiscal year.</t>
  </si>
  <si>
    <t>In short, you are looking at a potential budget law violation if you truly end up the year as your</t>
  </si>
  <si>
    <t>current estimates reflect.  The good news is that you have an early indication of possible issues which</t>
  </si>
  <si>
    <t>can be addressed sooner rather than later.</t>
  </si>
  <si>
    <t xml:space="preserve">Should the potential for a violation be corrected at this time? </t>
  </si>
  <si>
    <t xml:space="preserve">be necessary to ensure that your expenditures do not, at year-end, exceed your budget authority for </t>
  </si>
  <si>
    <t>this fund.</t>
  </si>
  <si>
    <t xml:space="preserve">Well, the easiest thing to do at this time is to increase any underestimated revenue numbers, or </t>
  </si>
  <si>
    <t>decrease any overestimated expenditure numbers, or a combination of the two.</t>
  </si>
  <si>
    <t>What if I check my estimates and find that we're still on pace for a budget law violation?</t>
  </si>
  <si>
    <t xml:space="preserve">are you showing any transfers from this fund to another?  If so, consider whether you can reduce or </t>
  </si>
  <si>
    <t>eliminate one or more transfers.</t>
  </si>
  <si>
    <t>the reimbursement as a receipt, show the reimbursement as a negative expenditure.</t>
  </si>
  <si>
    <t>Another option is to consider whether your fund shares expenditures with another fund.  For example,</t>
  </si>
  <si>
    <t>your electric and water funds may split salaries between the two funds.  If one of those funds is in</t>
  </si>
  <si>
    <t xml:space="preserve">trouble you might be able to allocate a little more in salaries to the healthy fund in order to eliminate </t>
  </si>
  <si>
    <t xml:space="preserve">the potential violation (be sure, though, that the healthy fund has sufficient budget authority and cash </t>
  </si>
  <si>
    <t xml:space="preserve">A sometimes overlooked option is to use your general fund to cover the excess expenditures, </t>
  </si>
  <si>
    <t>assuming that general fund is not the one that's in trouble and that it has the budget authority and cash</t>
  </si>
  <si>
    <t>to absorb additional expenditures.</t>
  </si>
  <si>
    <t>Finally, If none of the above options can be applied and the fund has an unencumbered cash balance</t>
  </si>
  <si>
    <t>which will cover the estimated overage, the budget can be amended before the end of the fiscal year.</t>
  </si>
  <si>
    <t>Remember, the amendment process must occur before the end of the fiscal year.</t>
  </si>
  <si>
    <t>If the fund does not have enough ending cash so that an amendment will cover the expected overage,</t>
  </si>
  <si>
    <t>but another fund does have enough unemcumbered cash (along with budget authority and statutory</t>
  </si>
  <si>
    <t xml:space="preserve">authority to transfer to the fund with the potential budget law violation), go ahead and make the </t>
  </si>
  <si>
    <t>transfer and then amend the budget.</t>
  </si>
  <si>
    <t>that at the end of this year you will have a negative unencumbered cash balance in this fund.</t>
  </si>
  <si>
    <t>Yes. You don't want to end this year with a negative cash balance in the fund.  At a minimum</t>
  </si>
  <si>
    <t>Note: it is possible that this is one of those funds which may, under K.S.A. 10-1116, end the year</t>
  </si>
  <si>
    <t>with a negative cash balance, but otherwise you will want to make sure that it does not.</t>
  </si>
  <si>
    <t>The easiest thing to do at this time is to increase any underestimated revenue numbers, or decrease</t>
  </si>
  <si>
    <t>any overestimated expenditure numbers, or a combination of the two.</t>
  </si>
  <si>
    <t>Either your fund receipts will need to be increased before the end of the year (transfer from another</t>
  </si>
  <si>
    <t xml:space="preserve">fund) or your expenditures will need to be decreased before the end of the year (shifting of </t>
  </si>
  <si>
    <t>expenditures to another fund), or a combination of the two.</t>
  </si>
  <si>
    <r>
      <t xml:space="preserve">showing the reimbursement as a receipt, show the reimbursement as a negative </t>
    </r>
    <r>
      <rPr>
        <i/>
        <sz val="12"/>
        <rFont val="Times New Roman"/>
        <family val="1"/>
      </rPr>
      <t>expenditure.</t>
    </r>
  </si>
  <si>
    <t xml:space="preserve">Another option for you to consider is the shifting of expenditures from this fund to another fund.  </t>
  </si>
  <si>
    <t>Again, the fund to which expenditures are shifted must have available cash and budget authority</t>
  </si>
  <si>
    <t xml:space="preserve"> in order to absorb the additional expenditures.  </t>
  </si>
  <si>
    <t xml:space="preserve">On the revenue side of the fund you might increase your receipts through one or more transfers, </t>
  </si>
  <si>
    <t xml:space="preserve">contingent upon available cash, budget authority, and statutory authority for the transfer from the </t>
  </si>
  <si>
    <t>fund or funds from which one or more transfers might be made.</t>
  </si>
  <si>
    <t>assuming that the general fund is not the one that's in trouble and that it has the budget authority and</t>
  </si>
  <si>
    <t>cash to absorb additional expenditures.</t>
  </si>
  <si>
    <t>Proposed Budget Year - Possible Budget Law Violation No Levy Funds</t>
  </si>
  <si>
    <t>In short, you are looking at a budget law violation if you adopt a budget in which there exists a fund</t>
  </si>
  <si>
    <t>with a negative ending cash balance.</t>
  </si>
  <si>
    <t xml:space="preserve">Yes. Budget law mandates that fund expenditures shall balance with anticipated revenue. A fund </t>
  </si>
  <si>
    <t>ending cash balance should end either in $0 or a positive cash balance.</t>
  </si>
  <si>
    <t xml:space="preserve">The negative cash balance can be remedied by increasing the anticipated receipts or by reducing </t>
  </si>
  <si>
    <t>the proposed expenditures, or a combination of the two.</t>
  </si>
  <si>
    <t xml:space="preserve">If the municipality governing body chooses to adopt a budget whereby the no levy fund has a </t>
  </si>
  <si>
    <t xml:space="preserve">positive ending balance, that's okay.  But, we recommend that the fund be budgeted to end with a </t>
  </si>
  <si>
    <t>$0 balance.</t>
  </si>
  <si>
    <t xml:space="preserve">Why?  Remember that no levy funds do not result in a levy of property tax dollars. So, there is no </t>
  </si>
  <si>
    <t>impimpact to the property taxpayer from a budget which utilizes all anticipated revenue in the</t>
  </si>
  <si>
    <t>upcoming year.</t>
  </si>
  <si>
    <t xml:space="preserve">The advantage of budgeting the no levy fund to end the budget year with a $0 balance is that it </t>
  </si>
  <si>
    <t>provides the municipality with maximum spending authority. In the event the municipality is faced with</t>
  </si>
  <si>
    <t>with unanticipated spending during the budget year it will not need to amend its budget to do so.</t>
  </si>
  <si>
    <r>
      <t xml:space="preserve">Note: by budgeting to $0, the municipality does not have to </t>
    </r>
    <r>
      <rPr>
        <i/>
        <sz val="12"/>
        <rFont val="Times New Roman"/>
        <family val="1"/>
      </rPr>
      <t>spend</t>
    </r>
    <r>
      <rPr>
        <sz val="12"/>
        <rFont val="Times New Roman"/>
        <family val="1"/>
      </rPr>
      <t xml:space="preserve"> down to $0, but the authority to </t>
    </r>
  </si>
  <si>
    <t>do so without a budget amendment is there in the event that a need to do so should arise.</t>
  </si>
  <si>
    <r>
      <t xml:space="preserve">• </t>
    </r>
    <r>
      <rPr>
        <sz val="12"/>
        <color rgb="FF000000"/>
        <rFont val="Calibri"/>
        <family val="2"/>
      </rPr>
      <t>RNR – Rate calculated to compare prior year ad valorem tax to current year estimates</t>
    </r>
  </si>
  <si>
    <r>
      <t xml:space="preserve">• </t>
    </r>
    <r>
      <rPr>
        <sz val="12"/>
        <color rgb="FF000000"/>
        <rFont val="Calibri"/>
        <family val="2"/>
      </rPr>
      <t xml:space="preserve">RNR = (Prior year ad valorem revenue/current year valuation estimate)  X 1,000 </t>
    </r>
  </si>
  <si>
    <t>Note: Revenue used is the final billed tax revenue</t>
  </si>
  <si>
    <t xml:space="preserve">Example: </t>
  </si>
  <si>
    <r>
      <t>RNR = (</t>
    </r>
    <r>
      <rPr>
        <b/>
        <sz val="12"/>
        <color rgb="FFFF0000"/>
        <rFont val="Calibri"/>
        <family val="2"/>
      </rPr>
      <t>A</t>
    </r>
    <r>
      <rPr>
        <sz val="12"/>
        <rFont val="Calibri"/>
        <family val="2"/>
      </rPr>
      <t xml:space="preserve"> $80,773/</t>
    </r>
    <r>
      <rPr>
        <b/>
        <sz val="12"/>
        <color rgb="FFFF0000"/>
        <rFont val="Calibri"/>
        <family val="2"/>
      </rPr>
      <t>B</t>
    </r>
    <r>
      <rPr>
        <sz val="12"/>
        <rFont val="Calibri"/>
        <family val="2"/>
      </rPr>
      <t xml:space="preserve"> 1,323,770) X 1,000  =  </t>
    </r>
    <r>
      <rPr>
        <b/>
        <sz val="12"/>
        <color rgb="FFFF0000"/>
        <rFont val="Calibri"/>
        <family val="2"/>
      </rPr>
      <t>C</t>
    </r>
    <r>
      <rPr>
        <sz val="12"/>
        <rFont val="Calibri"/>
        <family val="2"/>
      </rPr>
      <t xml:space="preserve"> 61.017</t>
    </r>
  </si>
  <si>
    <r>
      <t xml:space="preserve">Prior year mill levy rate was </t>
    </r>
    <r>
      <rPr>
        <b/>
        <sz val="12"/>
        <color rgb="FFFF0000"/>
        <rFont val="Calibri"/>
        <family val="2"/>
      </rPr>
      <t>D</t>
    </r>
    <r>
      <rPr>
        <sz val="12"/>
        <rFont val="Calibri"/>
        <family val="2"/>
      </rPr>
      <t xml:space="preserve"> 66.44</t>
    </r>
  </si>
  <si>
    <t>Prior Year Ad Valorem Revenue</t>
  </si>
  <si>
    <r>
      <rPr>
        <b/>
        <sz val="12"/>
        <color rgb="FFFF0000"/>
        <rFont val="Calibri"/>
        <family val="2"/>
      </rPr>
      <t>A</t>
    </r>
    <r>
      <rPr>
        <sz val="12"/>
        <rFont val="Calibri"/>
        <family val="2"/>
      </rPr>
      <t xml:space="preserve"> The prior year ad valorem revenue comes from the 2023 budget certificate page.  </t>
    </r>
  </si>
  <si>
    <t xml:space="preserve">It is the total for the Amount of 2022 Ad Valorem Tax column. </t>
  </si>
  <si>
    <t xml:space="preserve">The 2022 Ad Valorem Tax by fund is keyed in the 2022 Ad Valorem Tax column in the 2024 budget </t>
  </si>
  <si>
    <t>workbook inputPrYr tab.</t>
  </si>
  <si>
    <t>Current Year Valuation Estimate</t>
  </si>
  <si>
    <r>
      <rPr>
        <b/>
        <sz val="12"/>
        <color rgb="FFFF0000"/>
        <rFont val="Calibri"/>
        <family val="2"/>
      </rPr>
      <t>B</t>
    </r>
    <r>
      <rPr>
        <sz val="12"/>
        <rFont val="Calibri"/>
        <family val="2"/>
      </rPr>
      <t xml:space="preserve"> The current year valuation estimate comes from the County Clerk's Budget Information for </t>
    </r>
  </si>
  <si>
    <t xml:space="preserve">the the 2024 Budget received from the county clerk in June. </t>
  </si>
  <si>
    <t xml:space="preserve">The information from the County Clerk's Budget Information for the 2024 Budget is keyed in the </t>
  </si>
  <si>
    <t>2024 budget workbook inputOth tab.</t>
  </si>
  <si>
    <r>
      <t xml:space="preserve">C </t>
    </r>
    <r>
      <rPr>
        <sz val="12"/>
        <color theme="1"/>
        <rFont val="Calibri"/>
        <family val="2"/>
      </rPr>
      <t>The revenue neutral rate is calculated by the county clerk and provided to each taxing subdivision in the county by June 15th.</t>
    </r>
  </si>
  <si>
    <t>Prior Year RNR/Mill Levy Rate</t>
  </si>
  <si>
    <r>
      <t xml:space="preserve">D </t>
    </r>
    <r>
      <rPr>
        <sz val="12"/>
        <color theme="1"/>
        <rFont val="Calibri"/>
        <family val="2"/>
      </rPr>
      <t xml:space="preserve">The sum of the actual tax rates </t>
    </r>
  </si>
  <si>
    <t>The following changes were made to this workbook during April 2023</t>
  </si>
  <si>
    <t xml:space="preserve">1. Made final Nov 1, 2023 assessed valuation fillable and added final rate formula by fund on the Certificate page. </t>
  </si>
  <si>
    <t>2. Added 'SAMPLE Roll Call to Exceed RNR' tab.</t>
  </si>
  <si>
    <t>3. Combined 'Mill Rate Computation' tab and 'Helpful Links' tab into new tab labeled 'Budget Tools.'</t>
  </si>
  <si>
    <t>4. Added explanation of how the Revenue Neutral Rate is calculated to 'Budget Tools' tab.</t>
  </si>
  <si>
    <t>5. Updated spacing and formatting to Tab A, Tab B, Tab C, Tab D and Tab E.</t>
  </si>
  <si>
    <t>The following changes were made to this workbook during February 2022</t>
  </si>
  <si>
    <t>10. Added RNR to Certificate Page</t>
  </si>
  <si>
    <t>5. Updated certificate/table of contents and page numbering for changes</t>
  </si>
  <si>
    <t>The following changes were made to this workbook during March 2020</t>
  </si>
  <si>
    <t>The following changes were made to this workbook during April 2019</t>
  </si>
  <si>
    <t>The following changes were made to this workbook on 1/27/2016</t>
  </si>
  <si>
    <t>The following changes were made to this workbook on 8/28/2015</t>
  </si>
  <si>
    <t>1.  Added edits related to adoption of a resolution</t>
  </si>
  <si>
    <t>2.  Added a sample resolution tab</t>
  </si>
  <si>
    <t>3.  Added a third notice of vote option</t>
  </si>
  <si>
    <t>4.  Added to each fund a "cash forward" expenditure line item</t>
  </si>
  <si>
    <t>5.  Added a total tax levy comparison tool adjacent to each tax levy fund</t>
  </si>
  <si>
    <t>6.  On tax levy funds NR estimate shown as a negative receipt</t>
  </si>
  <si>
    <t>The following changes were made to this workbook on 9/22/14</t>
  </si>
  <si>
    <t>The following changes were made to this workbook on 9/16/14</t>
  </si>
  <si>
    <t>1.  Corrected the print margins of the general fund tab.</t>
  </si>
  <si>
    <t>The following changes were made to this workbook on 8/4/14</t>
  </si>
  <si>
    <t>The following changes were made to this workbook on 4/2/14</t>
  </si>
  <si>
    <t>The following changes were made to this workbook on 1/13/14</t>
  </si>
  <si>
    <t>1.  Corrected formulas for column totals on general fund detail page.</t>
  </si>
  <si>
    <t>The following changes were made to this workbook on 3/22/12</t>
  </si>
  <si>
    <t>1. Concantenate at line 9 of the Certificate page changed to reference cell F1</t>
  </si>
  <si>
    <t>2. Corrected misspelling of word "limitations" on line 9 of the Certificate page.</t>
  </si>
  <si>
    <t>35. General tab, link page number with detail page number to show 7 without a library fund or 8 with a library fund</t>
  </si>
  <si>
    <t>The following changes were made to this workbook on 6/30/11</t>
  </si>
  <si>
    <t>1. Certificate page: supplied link to input prior year tab to pull statutory reference for tax levy fund (cell B23 on certificate page)</t>
  </si>
  <si>
    <t>1. Debt Service fund page: total receipts formula changed to eliminate reference to unencumbered cash (cell C6)</t>
  </si>
  <si>
    <t>2. Summary page: corrected cell reference in current year expenditures, cell D26</t>
  </si>
  <si>
    <t>The following changes were made to this workbook on 5/26/11</t>
  </si>
  <si>
    <t>1. Tabs level page 9 and 10 cell D32 formatting change reference C34 to D34 and cell D69 reference from C71 to D71</t>
  </si>
  <si>
    <t>The following changes were made to this workbook on 5/6/11</t>
  </si>
  <si>
    <t>1. Summary tab correct cells J28, J29, M28, and M29 as wrong cell reference and formula error</t>
  </si>
  <si>
    <t>2. Mvalloc/slider column cell corrections.</t>
  </si>
  <si>
    <t>The following changes were made to this workbook on 3/16/11</t>
  </si>
  <si>
    <t>1. DebtService tab corrected cell E20 total computation</t>
  </si>
  <si>
    <t>2. Mvalloc tab corrected table link with InputPrYr ad valorem taxes</t>
  </si>
  <si>
    <t>3. Debt Service tab corrected cell G34 from E21 to E20</t>
  </si>
  <si>
    <t>The following changes were made to this workbook on 8/20/10</t>
  </si>
  <si>
    <t>3. Instruction tab added lines 11c (last year mill rate), 11d (desired mill rate), 10a(project carryover), 10b (Desired Carryover), 10g (project carryover Debt/road, and 14 (protection)</t>
  </si>
  <si>
    <t>14. DebtService tab reduced the Debt Service fund page and added a fund</t>
  </si>
  <si>
    <t>28. Inputoth tab changed Actual Delinquency tax from -2 to -3</t>
  </si>
  <si>
    <t>2. SpecHwy and No Levy Page 12 tabs changed conditional statements</t>
  </si>
  <si>
    <t>9. Certificate tab moved the Assisted By: and added more lines for governing body signatures</t>
  </si>
  <si>
    <t>The following changes were made to this workbook on 7/16/09</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</si>
  <si>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</si>
  <si>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</si>
  <si>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</si>
  <si>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</si>
  <si>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t>The following changes were made to this workbook on 4/24/09</t>
  </si>
  <si>
    <t>1. Transfer tab - changed the column heading dates as had wrong reference cell</t>
  </si>
  <si>
    <t>The following were changed to this spreadsheet on 3/19/09</t>
  </si>
  <si>
    <t>1. Change Certificate page Bond &amp; Interest to Debt Service</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</si>
  <si>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</si>
  <si>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</si>
  <si>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</si>
  <si>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8/13/08</t>
  </si>
  <si>
    <t>3a. Made the total expenditures block for the actual and current year to turn 'Red' if violation occurs.</t>
  </si>
  <si>
    <t>6. Neighborhood Revitalization (nhood) took off the protection for the page number and made the estimate rebate round the figures to whole dollars.</t>
  </si>
  <si>
    <t>8. Added to the instruction page lines 11a - 11c to provide a little more insight for the Neighborhood Revitalization rebate.</t>
  </si>
  <si>
    <t>9. Added instruction line 2b to explain how to delete delinquency rate from tax levy fund pages.</t>
  </si>
  <si>
    <t>12. Added instruction lines 9j to 9l for additional edits for budget authority.</t>
  </si>
  <si>
    <t>13. Added to instruction line 9c about the miscellaneous receipt for the proposed year takes into account the ad valorem taxes for the 10% Rule.</t>
  </si>
  <si>
    <t>14. Added to instruction line 6 for using chartered ordinance number in place of statute reference.</t>
  </si>
  <si>
    <t>1. Added instructions to 9f for the nonbud tab explaining about negative cash balance.</t>
  </si>
  <si>
    <t>2. Changed the formula for unencumbered cash balances for nonbud to show a negative balance.</t>
  </si>
  <si>
    <t>3. Added box under unencumbered cash balance for nonbud to reflect a negative ending cash balance.</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</si>
  <si>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</si>
  <si>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</si>
  <si>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1.Instruction were changed: POC change from Roger to ARMUNIS, got rid about us providing disk, took the input page and split to input prior budget information and input other, with more in-depth of forms and fund page, and more in-depth on the budget summary page.</t>
  </si>
  <si>
    <t>7. Added a single page for no tax levy fund page.</t>
  </si>
  <si>
    <t>11. Added Neighborhood Revitalization, LAVTR, City and County Revenue Sharing, and Slider to the input page and to the General Fund page.</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</si>
  <si>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</si>
  <si>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</si>
  <si>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</si>
  <si>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</si>
  <si>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</si>
  <si>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</si>
  <si>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</si>
  <si>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 xml:space="preserve">30. Added miscellaneous line item for receipt and expenditure and add line for "Exceed 10% Rule' and make the block red if exceeded. </t>
  </si>
  <si>
    <t xml:space="preserve">31. Added instructions for the 10% Rule. </t>
  </si>
  <si>
    <t>33. Expanded on the preparation of budget note 10 for instructions for the Notice of Budget Hearing.</t>
  </si>
  <si>
    <t>34. Added 'excluding oil, gas, and mobile homes' to lines 8 and 14 on Clerks budget info on tab inputoth.</t>
  </si>
  <si>
    <t>Roll Call Vote</t>
  </si>
  <si>
    <t>Governing Body Member</t>
  </si>
  <si>
    <t>Yes</t>
  </si>
  <si>
    <t>No</t>
  </si>
  <si>
    <t>No Vote</t>
  </si>
  <si>
    <t xml:space="preserve">Certified: </t>
  </si>
  <si>
    <t>The following changes were made to this workbook during September 2023</t>
  </si>
  <si>
    <t>1. Removed erroneous external link to City 2024.xlsx from concatenate formulas in Tab A, Tab B, Tab C, Tab D and Tab E.</t>
  </si>
  <si>
    <t>1. Removed LAVTR from inputOth, Library Grant and General fund tabs.</t>
  </si>
  <si>
    <t>2. Removed City and County Revenue Sharing from inputOth and General fund tabs.</t>
  </si>
  <si>
    <t>3. Renamed Cash Forward/Cash-Basis Reserve to Cash Reserve on all fund pages.</t>
  </si>
  <si>
    <t>Does budget require a resolution to exceed the Revenue Neutral Rate?</t>
  </si>
  <si>
    <t>The following changes were made to this workbook during April-May 2024</t>
  </si>
  <si>
    <t>4. Added RNR Resolution YES/NO formula to certificate page.</t>
  </si>
  <si>
    <r>
      <t xml:space="preserve">As required by KSA 79-1801, budgets without intent to exceed the Revenue Neutral Rate (RNR) are required be certified and submitted to the County Clerk by </t>
    </r>
    <r>
      <rPr>
        <b/>
        <u/>
        <sz val="12"/>
        <rFont val="Times New Roman"/>
        <family val="1"/>
      </rPr>
      <t>5:00 p.m. on October 1st</t>
    </r>
    <r>
      <rPr>
        <sz val="12"/>
        <rFont val="Times New Roman"/>
        <family val="1"/>
      </rPr>
      <t xml:space="preserve"> of each year.  If the taxing subdivision must conduct a hearing to approve exceeding the RNR, the budget must be certified and submitted to the County Clerk by </t>
    </r>
    <r>
      <rPr>
        <b/>
        <u/>
        <sz val="12"/>
        <rFont val="Times New Roman"/>
        <family val="1"/>
      </rPr>
      <t>5:00 p.m. on October 1st.</t>
    </r>
    <r>
      <rPr>
        <sz val="12"/>
        <rFont val="Times New Roman"/>
        <family val="1"/>
      </rPr>
      <t xml:space="preserve"> If the county clerk does not receive a certified budget from a taxing subdivision, then the clerk shalll use the prior year budget and levy rates for the current year.</t>
    </r>
  </si>
  <si>
    <t>* Copy of "Notice of Hearing" from budget must be attached to this form when submitted to the county clerk(s).</t>
  </si>
  <si>
    <t>The following changes were made to this workbook during May 2025</t>
  </si>
  <si>
    <t>1.  Updated the certification date on the 'Instruction' tab for those not exceeding RNR to 5:00 p.m. on October 1st.  Added the time of 5:00 p.m. in front of October 1st as the certificate deadline or the those taxing subdivisions exceeding the RNR.</t>
  </si>
  <si>
    <t>2.  Added phrase "If the county clerk does not receive a certified budget from a taxing subdivision, then the clerk shalll use the prior year budget and levy rates for the current year" to the 'Instruction' tab.</t>
  </si>
  <si>
    <t>3.  Revised the formula used for the RNR Resolution YES/NO question on the certificate page.</t>
  </si>
  <si>
    <t>4.  Added "* Copy of "Notice of Hearing" from budget must be attached to this form when submitted to the county clerk(s)." to the SAMPLE Notice to County Clerk tab under the intend to exceed section. Also updated date from August 25 to October 1 on same tab on the section of no intent to exceed the RNR.</t>
  </si>
  <si>
    <t>The City of Colby</t>
  </si>
  <si>
    <t>Thomas County</t>
  </si>
  <si>
    <t>Recreation</t>
  </si>
  <si>
    <t>12-1929a</t>
  </si>
  <si>
    <t>Noxious Weeds</t>
  </si>
  <si>
    <t>2-1318</t>
  </si>
  <si>
    <t>12-110b</t>
  </si>
  <si>
    <t>Special Fire/Police</t>
  </si>
  <si>
    <t>Special Liability</t>
  </si>
  <si>
    <t>75-6110</t>
  </si>
  <si>
    <t>12-16,102</t>
  </si>
  <si>
    <t>Economic Development</t>
  </si>
  <si>
    <t>12-1617h</t>
  </si>
  <si>
    <t>Electric Utility</t>
  </si>
  <si>
    <t>Water Utility</t>
  </si>
  <si>
    <t>Sewage Disposal Utility</t>
  </si>
  <si>
    <t>Solid Waste Disposal Utility</t>
  </si>
  <si>
    <t>Convention/Tourism</t>
  </si>
  <si>
    <t>Law Enforcement Trust</t>
  </si>
  <si>
    <t>Special Parks/Recreation</t>
  </si>
  <si>
    <t>E911</t>
  </si>
  <si>
    <t>Capital Improvement</t>
  </si>
  <si>
    <t>Municipal Equipment</t>
  </si>
  <si>
    <t>Financed Projects</t>
  </si>
  <si>
    <t>Water Treatment</t>
  </si>
  <si>
    <t>Grant Projects</t>
  </si>
  <si>
    <t>Risk Management</t>
  </si>
  <si>
    <t>Per Conversation w/ Layne @ Th. Co., she thinks it w/b wise to show a 3% delinquency</t>
  </si>
  <si>
    <t>=</t>
  </si>
  <si>
    <t>Watercraft included in w/ Rec Vehicle in Deb's Budget, info to come from Keesa</t>
  </si>
  <si>
    <t>Joni L. Ketchum</t>
  </si>
  <si>
    <t>City Clerk</t>
  </si>
  <si>
    <t>Tuesday, September 2, 2025</t>
  </si>
  <si>
    <t>5:30 p.m.</t>
  </si>
  <si>
    <t>Lee Leiker, Mayor</t>
  </si>
  <si>
    <t>Joni L. Ketchum, City Clerk</t>
  </si>
  <si>
    <t>Attest Date</t>
  </si>
  <si>
    <t>the City Hall Council Chambers</t>
  </si>
  <si>
    <t>2013 Waterline Improvements</t>
  </si>
  <si>
    <t>2019 Event Center</t>
  </si>
  <si>
    <t>6/1, 12/1</t>
  </si>
  <si>
    <t>State Revolving Fund</t>
  </si>
  <si>
    <t>3/1, 9/1</t>
  </si>
  <si>
    <t>FCIP - Meter Replacement</t>
  </si>
  <si>
    <t>Highway Connecting Links</t>
  </si>
  <si>
    <t>In Lue of Taxes (PILOT)</t>
  </si>
  <si>
    <t>Licenses/Permits</t>
  </si>
  <si>
    <t>Service Charges</t>
  </si>
  <si>
    <t>Fines/Forfeits/Penalties</t>
  </si>
  <si>
    <t>Event Center</t>
  </si>
  <si>
    <t>Transient Guest Tax</t>
  </si>
  <si>
    <t>Use of Money/Property</t>
  </si>
  <si>
    <t>Farm Income-GHK/Barb Wire/Taylor</t>
  </si>
  <si>
    <t>Transfer from Financed Projects (Pool)</t>
  </si>
  <si>
    <t>Transfer from Financed Proj(Event Ctr&amp;Gen)</t>
  </si>
  <si>
    <t>Transfer to Capital Improvement</t>
  </si>
  <si>
    <t>Transfer to Municipal Equipment</t>
  </si>
  <si>
    <t>Sewage Disp Utility</t>
  </si>
  <si>
    <t>Sanitation Utility</t>
  </si>
  <si>
    <t>General/Pool</t>
  </si>
  <si>
    <t>General/Event Ctr</t>
  </si>
  <si>
    <t>Capital Improvements</t>
  </si>
  <si>
    <t>Reserve Depr Fund</t>
  </si>
  <si>
    <t>Special Parks</t>
  </si>
  <si>
    <t>Special Law Enforce Tr</t>
  </si>
  <si>
    <t>Financed Proj/Event Ctr</t>
  </si>
  <si>
    <t>12-825d</t>
  </si>
  <si>
    <t>Ord 1477</t>
  </si>
  <si>
    <t>Ord 1606</t>
  </si>
  <si>
    <t>12-1,118</t>
  </si>
  <si>
    <t>12-1,117</t>
  </si>
  <si>
    <t>Resolution TBD</t>
  </si>
  <si>
    <t>*</t>
  </si>
  <si>
    <t>Transfer from Electric Utility - 6.5%</t>
  </si>
  <si>
    <t>Transfer from Water Utility - 6.5%</t>
  </si>
  <si>
    <t>Transfer from Sewage Disposal Utility - 6.5%</t>
  </si>
  <si>
    <t>Transfer from Sanitation Utility - 5.0%</t>
  </si>
  <si>
    <t>General Administration</t>
  </si>
  <si>
    <t>Federal Funds/KAIP/DOJ/eCivis/ARPA</t>
  </si>
  <si>
    <t>Police</t>
  </si>
  <si>
    <t>Fire</t>
  </si>
  <si>
    <t>Street</t>
  </si>
  <si>
    <t>Communications</t>
  </si>
  <si>
    <t>Parks</t>
  </si>
  <si>
    <t>Pool</t>
  </si>
  <si>
    <t>Airport</t>
  </si>
  <si>
    <t>Special Assessments</t>
  </si>
  <si>
    <t>Transfer from Financed Projects</t>
  </si>
  <si>
    <t>RHID Property Taxes</t>
  </si>
  <si>
    <t>Interest Coupons</t>
  </si>
  <si>
    <t>Commissions/Postage</t>
  </si>
  <si>
    <t>RHID Property Taxes Paid Out</t>
  </si>
  <si>
    <t>Appropriations</t>
  </si>
  <si>
    <t>Program Income</t>
  </si>
  <si>
    <t>Salaries</t>
  </si>
  <si>
    <t>Contractual</t>
  </si>
  <si>
    <t>Commodities</t>
  </si>
  <si>
    <t>Capital Outlay</t>
  </si>
  <si>
    <t>Transfer to Employee Benefits</t>
  </si>
  <si>
    <t>Sponsorships &amp; Grants</t>
  </si>
  <si>
    <t>Chemicals</t>
  </si>
  <si>
    <t>Operational Equipment</t>
  </si>
  <si>
    <t>Safety Group Dividend</t>
  </si>
  <si>
    <t>Premiums</t>
  </si>
  <si>
    <t>Claims</t>
  </si>
  <si>
    <t>Grants &amp; Donations</t>
  </si>
  <si>
    <t>Operational Equipment-Fire</t>
  </si>
  <si>
    <t>LSSE Grant Purchases-Fire</t>
  </si>
  <si>
    <t>Grants/Donations Purchases-Fire</t>
  </si>
  <si>
    <t>Transfer to Municipal Equipment-Fire</t>
  </si>
  <si>
    <t>Transfer to Municipal Equipment-Police</t>
  </si>
  <si>
    <t>Transfer from Electric Utility</t>
  </si>
  <si>
    <t>Transfer from Water Utility</t>
  </si>
  <si>
    <t>Transfer from Sewage Disp Utility</t>
  </si>
  <si>
    <t>Transfer from Sanitation Utility</t>
  </si>
  <si>
    <t>Transfer from Recreation</t>
  </si>
  <si>
    <t>Transfer from Special Law Enforce Trust</t>
  </si>
  <si>
    <t>Transfer from Capital Improvement Fund</t>
  </si>
  <si>
    <t>Social Security</t>
  </si>
  <si>
    <t>KPERS Retirement Benefits</t>
  </si>
  <si>
    <t>State Unemployment</t>
  </si>
  <si>
    <t>Workman's Compensation</t>
  </si>
  <si>
    <t>Library Share of Benefits</t>
  </si>
  <si>
    <t>Medical Insurance</t>
  </si>
  <si>
    <t>Premium Reduction/IMA/EAP</t>
  </si>
  <si>
    <t>Short Term Disability</t>
  </si>
  <si>
    <t>Payment FAA/KDOT/City</t>
  </si>
  <si>
    <t>Special Projects</t>
  </si>
  <si>
    <t>Advertising</t>
  </si>
  <si>
    <t>Travel/Promo/Recruitment</t>
  </si>
  <si>
    <t>Development - City - 50% Share</t>
  </si>
  <si>
    <t>No, we do not plan to exceed the Revenue Neutral Rate and will submit our budget to the County Clerk on or before October 1, 2025.</t>
  </si>
  <si>
    <t>Payment from KDOT</t>
  </si>
  <si>
    <t>Contractual Services</t>
  </si>
  <si>
    <t>Reconstruction</t>
  </si>
  <si>
    <t>Electric Sales</t>
  </si>
  <si>
    <t>Equipment Pole Rental</t>
  </si>
  <si>
    <t>Penalties/Fees</t>
  </si>
  <si>
    <t>Connection Fees</t>
  </si>
  <si>
    <t>Capital Credits</t>
  </si>
  <si>
    <t>Transfer to General</t>
  </si>
  <si>
    <t>Transfer to Reserve</t>
  </si>
  <si>
    <t>Lease/Purchase Payment</t>
  </si>
  <si>
    <t>3MW Cat Generator-Estimated</t>
  </si>
  <si>
    <t>Water Sales</t>
  </si>
  <si>
    <t>Sewer Sales</t>
  </si>
  <si>
    <t>Sewer Debt Service</t>
  </si>
  <si>
    <t>Refuse Charges</t>
  </si>
  <si>
    <t>Garbage Bags/Tipper Can Sales</t>
  </si>
  <si>
    <t>Payment from State</t>
  </si>
  <si>
    <t>Contract Payment to Conv/Tourism</t>
  </si>
  <si>
    <t>Impound Lot Proceeds</t>
  </si>
  <si>
    <t>Diverson Funds</t>
  </si>
  <si>
    <t>Money Seized</t>
  </si>
  <si>
    <t>Sale of LET Building</t>
  </si>
  <si>
    <t>Payment from Federal Grant/KWL&amp;P/CFAP</t>
  </si>
  <si>
    <t>Trsfr from General</t>
  </si>
  <si>
    <t>Trsfr from Electric</t>
  </si>
  <si>
    <t>Trsfr from Water</t>
  </si>
  <si>
    <t>Trsfr from Sewer</t>
  </si>
  <si>
    <t>Trsfr from Sp Parks</t>
  </si>
  <si>
    <t>Trsfr frm Recreation</t>
  </si>
  <si>
    <t>Electric</t>
  </si>
  <si>
    <t>Water</t>
  </si>
  <si>
    <t>TCCF/V.H. Playgrnd</t>
  </si>
  <si>
    <t>Trsfr from Fin Proj</t>
  </si>
  <si>
    <t>Sp Parks</t>
  </si>
  <si>
    <t>Trsfr from Sanitation</t>
  </si>
  <si>
    <t>Sale Proceeds</t>
  </si>
  <si>
    <t>Sanitation</t>
  </si>
  <si>
    <t>Sp Police/Fire</t>
  </si>
  <si>
    <t>Trsfr Sp Police/Fire</t>
  </si>
  <si>
    <t>Sewer</t>
  </si>
  <si>
    <t>STAR Bonds</t>
  </si>
  <si>
    <t>Trsfr to General/Pool</t>
  </si>
  <si>
    <t>Trsfr to General/ECtr</t>
  </si>
  <si>
    <t>Trsfr to Bond &amp; Int</t>
  </si>
  <si>
    <t>Capital Improvemnts</t>
  </si>
  <si>
    <t>Paymnt frm KDHE</t>
  </si>
  <si>
    <t>Close out to General</t>
  </si>
  <si>
    <t>Safety Grp Dividend</t>
  </si>
  <si>
    <t>2025 Budget</t>
  </si>
  <si>
    <t>Less Non-Budgeted Funds :</t>
  </si>
  <si>
    <t>MERF</t>
  </si>
  <si>
    <t>CIRF</t>
  </si>
  <si>
    <t>Variance</t>
  </si>
  <si>
    <t>2026 Budget Authority for Expenditures</t>
  </si>
  <si>
    <t>2026 Budget Grand Total/ Budget Book Page 2</t>
  </si>
  <si>
    <t>Preliminary 2026 Budget Mill Levy</t>
  </si>
  <si>
    <t>Budget Work Session - Use 2025 Actual Tax Rate</t>
  </si>
  <si>
    <t>Add'l Funding for Employee Benefits Fund</t>
  </si>
  <si>
    <t>XX</t>
  </si>
  <si>
    <t>THE GOVERNING BODY OF THE CITY of COLBY, HEREBY NOTIFIES THE THOMAS COUNTY CLERK OF INTENT TO EXCEED THE REVENUE NEUTRAL RATE;</t>
  </si>
  <si>
    <r>
      <rPr>
        <b/>
        <sz val="12"/>
        <rFont val="Times New Roman"/>
        <family val="1"/>
      </rPr>
      <t>Yes</t>
    </r>
    <r>
      <rPr>
        <sz val="12"/>
        <rFont val="Times New Roman"/>
        <family val="1"/>
      </rPr>
      <t>, we intend to exceed the Revenue Neutral Rate and our proposed mill levy rate is</t>
    </r>
    <r>
      <rPr>
        <b/>
        <sz val="12"/>
        <rFont val="Times New Roman"/>
        <family val="1"/>
      </rPr>
      <t xml:space="preserve"> 34.400</t>
    </r>
    <r>
      <rPr>
        <sz val="12"/>
        <rFont val="Times New Roman"/>
        <family val="1"/>
      </rPr>
      <t xml:space="preserve">.  The date of our hearing is </t>
    </r>
    <r>
      <rPr>
        <b/>
        <sz val="12"/>
        <rFont val="Times New Roman"/>
        <family val="1"/>
      </rPr>
      <t>September 2, 2025</t>
    </r>
    <r>
      <rPr>
        <sz val="12"/>
        <rFont val="Times New Roman"/>
        <family val="1"/>
      </rPr>
      <t xml:space="preserve"> at </t>
    </r>
    <r>
      <rPr>
        <b/>
        <sz val="12"/>
        <rFont val="Times New Roman"/>
        <family val="1"/>
      </rPr>
      <t>5:30 PM</t>
    </r>
    <r>
      <rPr>
        <sz val="12"/>
        <rFont val="Times New Roman"/>
        <family val="1"/>
      </rPr>
      <t xml:space="preserve"> and will be held in the </t>
    </r>
    <r>
      <rPr>
        <b/>
        <sz val="12"/>
        <rFont val="Times New Roman"/>
        <family val="1"/>
      </rPr>
      <t>City Hall Council Chambers, 585 N Franklin Avenue</t>
    </r>
    <r>
      <rPr>
        <sz val="12"/>
        <rFont val="Times New Roman"/>
        <family val="1"/>
      </rPr>
      <t xml:space="preserve"> in </t>
    </r>
    <r>
      <rPr>
        <b/>
        <sz val="12"/>
        <rFont val="Times New Roman"/>
        <family val="1"/>
      </rPr>
      <t>Colby, Kansas.</t>
    </r>
  </si>
  <si>
    <t>Colby Land Bank</t>
  </si>
  <si>
    <t>Reimbursement</t>
  </si>
  <si>
    <t>Transfer from Network Kansas</t>
  </si>
  <si>
    <t>Property Sales</t>
  </si>
  <si>
    <t>Contract Labor</t>
  </si>
  <si>
    <t>Transfer to Network Kansas</t>
  </si>
  <si>
    <t>Will need to amend for new fund.</t>
  </si>
  <si>
    <t>To be edited with the reworking of the EmpBenes</t>
  </si>
  <si>
    <r>
      <rPr>
        <sz val="12"/>
        <color rgb="FFFF0000"/>
        <rFont val="Times New Roman"/>
        <family val="1"/>
      </rPr>
      <t xml:space="preserve"> - add'l $87,622 to exceed RNR.</t>
    </r>
    <r>
      <rPr>
        <sz val="12"/>
        <rFont val="Times New Roman"/>
        <family val="1"/>
      </rPr>
      <t xml:space="preserve"> done 7/31/2025</t>
    </r>
  </si>
  <si>
    <t>A RESOLUTION OF THE CITY OF COLBY, KANSAS TO LEVY A PROPERTY TAX RATE EXCEEDING THE REVENUE NEUTRAL RATE;</t>
  </si>
  <si>
    <r>
      <t xml:space="preserve">           </t>
    </r>
    <r>
      <rPr>
        <b/>
        <sz val="12"/>
        <rFont val="Times New Roman"/>
        <family val="1"/>
      </rPr>
      <t>WHEREAS</t>
    </r>
    <r>
      <rPr>
        <sz val="12"/>
        <rFont val="Times New Roman"/>
        <family val="1"/>
      </rPr>
      <t>, the Revenue Neutral Rate for the City of Colby was calculated as 33.583 mills by the Thomas County Clerk; and</t>
    </r>
  </si>
  <si>
    <r>
      <t xml:space="preserve">           </t>
    </r>
    <r>
      <rPr>
        <b/>
        <sz val="12"/>
        <rFont val="Times New Roman"/>
        <family val="1"/>
      </rPr>
      <t>WHEREAS</t>
    </r>
    <r>
      <rPr>
        <sz val="12"/>
        <rFont val="Times New Roman"/>
        <family val="1"/>
      </rPr>
      <t>, the budget proposed by the Governing Body of the City of Colby will require the levy of a property tax rate exceeding the Revenue Neutral Rate; and</t>
    </r>
  </si>
  <si>
    <r>
      <t xml:space="preserve">          </t>
    </r>
    <r>
      <rPr>
        <b/>
        <sz val="12"/>
        <rFont val="Times New Roman"/>
        <family val="1"/>
      </rPr>
      <t>WHEREAS</t>
    </r>
    <r>
      <rPr>
        <sz val="12"/>
        <rFont val="Times New Roman"/>
        <family val="1"/>
      </rPr>
      <t>, the Governing Body of the City of Colby, having heard testimony, still finds it necessary to exceed the Revenue Neutral Rate.</t>
    </r>
  </si>
  <si>
    <r>
      <t xml:space="preserve">           </t>
    </r>
    <r>
      <rPr>
        <b/>
        <sz val="12"/>
        <rFont val="Times New Roman"/>
        <family val="1"/>
      </rPr>
      <t>WHEREAS</t>
    </r>
    <r>
      <rPr>
        <sz val="12"/>
        <rFont val="Times New Roman"/>
        <family val="1"/>
      </rPr>
      <t>, the Governing Body held a hearing on September 2, 2025 allowing interested taxpayers desiring to be heard an opportunity to give oral testimony; and</t>
    </r>
  </si>
  <si>
    <t xml:space="preserve">          NOW, THEREFORE, BE IT RESOLVED BY THE GOVERNING BODY OF THE CITY OF COLBY:</t>
  </si>
  <si>
    <t xml:space="preserve">          The City of Colby shall levy a property tax rate exceeding the Revenue Neutral Rate of 33.583 mills.</t>
  </si>
  <si>
    <t>A Roll Call Vote of the City of ColbyTo Levy a Property Tax Exceeding the Revenue Neutral Rate</t>
  </si>
  <si>
    <t>Hearing to Exceed Revenue Neutral Rate held on September 2, 2025</t>
  </si>
  <si>
    <t>Velma Goodheart</t>
  </si>
  <si>
    <t>Bruce Hansen</t>
  </si>
  <si>
    <t>Jared Johnson</t>
  </si>
  <si>
    <t>Shari Oren</t>
  </si>
  <si>
    <t>Marc Pearce</t>
  </si>
  <si>
    <t>Crystal Perkins</t>
  </si>
  <si>
    <t>Stan Schmidt</t>
  </si>
  <si>
    <t>W.G. Romine</t>
  </si>
  <si>
    <t>Lee Leiker, Mayor (tie breaker)</t>
  </si>
  <si>
    <t>Resolution No. 1229</t>
  </si>
  <si>
    <t>Keesa Mariman, County Clerk</t>
  </si>
  <si>
    <t>Do not know why the 2025 Est Actual Expense is Red.</t>
  </si>
  <si>
    <t>There is no Budget  Authority or Cash Balance Violation for Noxious Weeds.</t>
  </si>
  <si>
    <t>Certified Levy</t>
  </si>
  <si>
    <t>RHID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</si>
</sst>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44" formatCode="_(&quot;$&quot;* #,##0.00_);_(&quot;$&quot;* \(#,##0.00\);_(&quot;$&quot;* &quot;-&quot;??_);_(@_)"/>
    <numFmt numFmtId="43" formatCode="_(* #,##0.00_);_(* \(#,##0.00\);_(* &quot;-&quot;??_);_(@_)"/>
    <numFmt numFmtId="164" formatCode="0.000_)"/>
    <numFmt numFmtId="165" formatCode="0.00000_)"/>
    <numFmt numFmtId="166" formatCode="0_)"/>
    <numFmt numFmtId="167" formatCode="m/d/yy"/>
    <numFmt numFmtId="168" formatCode="m/d"/>
    <numFmt numFmtId="169" formatCode="_(* #,##0_);_(* \(#,##0\);_(* &quot;-&quot;??_);_(@_)"/>
    <numFmt numFmtId="170" formatCode="0.000"/>
    <numFmt numFmtId="171" formatCode="#,##0.000"/>
    <numFmt numFmtId="172" formatCode="&quot;$&quot;#,##0"/>
    <numFmt numFmtId="173" formatCode="&quot;$&quot;#,##0.00"/>
    <numFmt numFmtId="174" formatCode="#,###"/>
    <numFmt numFmtId="175" formatCode="0.0%"/>
    <numFmt numFmtId="176" formatCode="#,##0.000_);[Red]\(#,##0.000\)"/>
    <numFmt numFmtId="177" formatCode="_(&quot;$&quot;* #,##0_);_(&quot;$&quot;* \(#,##0\);_(&quot;$&quot;* &quot;-&quot;??_);_(@_)"/>
  </numFmts>
  <fonts count="68" x14ac:knownFonts="1">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1"/>
      <name val="Times New Roman"/>
      <family val="1"/>
    </font>
    <font>
      <sz val="9"/>
      <name val="Times New Roman"/>
      <family val="1"/>
    </font>
    <font>
      <sz val="8"/>
      <name val="Courier"/>
      <family val="3"/>
    </font>
    <font>
      <u/>
      <sz val="12"/>
      <color indexed="12"/>
      <name val="Courier"/>
      <family val="3"/>
    </font>
    <font>
      <sz val="8"/>
      <name val="Times New Roman"/>
      <family val="1"/>
    </font>
    <font>
      <b/>
      <u/>
      <sz val="12"/>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sz val="12"/>
      <color indexed="8"/>
      <name val="Times New Roman"/>
      <family val="1"/>
    </font>
    <font>
      <b/>
      <sz val="14"/>
      <name val="Times New Roman"/>
      <family val="1"/>
    </font>
    <font>
      <b/>
      <sz val="12"/>
      <color indexed="8"/>
      <name val="Times New Roman"/>
      <family val="1"/>
    </font>
    <font>
      <b/>
      <sz val="11"/>
      <name val="Times New Roman"/>
      <family val="1"/>
    </font>
    <font>
      <sz val="11"/>
      <color indexed="8"/>
      <name val="Times New Roman"/>
      <family val="1"/>
    </font>
    <font>
      <b/>
      <sz val="11"/>
      <color indexed="8"/>
      <name val="Times New Roman"/>
      <family val="1"/>
    </font>
    <font>
      <b/>
      <u/>
      <sz val="8"/>
      <color indexed="10"/>
      <name val="Times New Roman"/>
      <family val="1"/>
    </font>
    <font>
      <sz val="12"/>
      <name val="Courier"/>
      <family val="3"/>
    </font>
    <font>
      <sz val="12"/>
      <name val="Courier New"/>
      <family val="3"/>
    </font>
    <font>
      <b/>
      <sz val="12"/>
      <name val="Courier"/>
      <family val="3"/>
    </font>
    <font>
      <sz val="12"/>
      <name val="Courier New"/>
      <family val="3"/>
    </font>
    <font>
      <sz val="9"/>
      <color indexed="10"/>
      <name val="Times New Roman"/>
      <family val="1"/>
    </font>
    <font>
      <b/>
      <sz val="13"/>
      <name val="Times New Roman"/>
      <family val="1"/>
    </font>
    <font>
      <u/>
      <sz val="12"/>
      <color indexed="12"/>
      <name val="Times New Roman"/>
      <family val="1"/>
    </font>
    <font>
      <sz val="10"/>
      <name val="Times New Roman"/>
      <family val="1"/>
    </font>
    <font>
      <b/>
      <u/>
      <sz val="10"/>
      <name val="Times New Roman"/>
      <family val="1"/>
    </font>
    <font>
      <b/>
      <sz val="10"/>
      <name val="Times New Roman"/>
      <family val="1"/>
    </font>
    <font>
      <sz val="10"/>
      <color indexed="10"/>
      <name val="Times New Roman"/>
      <family val="1"/>
    </font>
    <font>
      <sz val="10"/>
      <name val="Courier"/>
      <family val="3"/>
    </font>
    <font>
      <u/>
      <sz val="12"/>
      <color indexed="12"/>
      <name val="Courier New"/>
      <family val="3"/>
    </font>
    <font>
      <sz val="11"/>
      <color theme="1"/>
      <name val="Calibri"/>
      <family val="2"/>
      <scheme val="minor"/>
    </font>
    <font>
      <u/>
      <sz val="12"/>
      <color rgb="FFFF0000"/>
      <name val="Times New Roman"/>
      <family val="1"/>
    </font>
    <font>
      <b/>
      <sz val="12"/>
      <color rgb="FF000000"/>
      <name val="Times New Roman"/>
      <family val="1"/>
    </font>
    <font>
      <sz val="10"/>
      <color rgb="FFFF0000"/>
      <name val="Times New Roman"/>
      <family val="1"/>
    </font>
    <font>
      <sz val="12"/>
      <color rgb="FFFF0000"/>
      <name val="Times New Roman"/>
      <family val="1"/>
    </font>
    <font>
      <b/>
      <sz val="12"/>
      <color rgb="FFFF0000"/>
      <name val="Times New Roman"/>
      <family val="1"/>
    </font>
    <font>
      <b/>
      <u/>
      <sz val="12"/>
      <color rgb="FFFF0000"/>
      <name val="Times New Roman"/>
      <family val="1"/>
    </font>
    <font>
      <sz val="11"/>
      <name val="Calibri"/>
      <family val="2"/>
    </font>
    <font>
      <sz val="7"/>
      <name val="Times New Roman"/>
      <family val="1"/>
    </font>
    <font>
      <b/>
      <sz val="16"/>
      <name val="Times New Roman"/>
      <family val="1"/>
    </font>
    <font>
      <b/>
      <u/>
      <sz val="16"/>
      <name val="Times New Roman"/>
      <family val="1"/>
    </font>
    <font>
      <sz val="14"/>
      <name val="Times New Roman"/>
      <family val="1"/>
    </font>
    <font>
      <b/>
      <sz val="18"/>
      <name val="Times New Roman"/>
      <family val="1"/>
    </font>
    <font>
      <b/>
      <i/>
      <sz val="12"/>
      <name val="Times New Roman"/>
      <family val="1"/>
    </font>
    <font>
      <b/>
      <sz val="14"/>
      <color rgb="FF000000"/>
      <name val="Cambria"/>
      <family val="1"/>
      <scheme val="major"/>
    </font>
    <font>
      <b/>
      <sz val="28"/>
      <color rgb="FF000000"/>
      <name val="Calibri Light"/>
      <family val="2"/>
    </font>
    <font>
      <sz val="12"/>
      <name val="Calibri"/>
      <family val="2"/>
    </font>
    <font>
      <sz val="12"/>
      <color rgb="FF000000"/>
      <name val="Calibri"/>
      <family val="2"/>
    </font>
    <font>
      <b/>
      <sz val="12"/>
      <color rgb="FFFF0000"/>
      <name val="Calibri"/>
      <family val="2"/>
    </font>
    <font>
      <sz val="12"/>
      <color theme="1"/>
      <name val="Calibri"/>
      <family val="2"/>
    </font>
    <font>
      <b/>
      <sz val="14"/>
      <color theme="1"/>
      <name val="Cambria"/>
      <family val="1"/>
    </font>
    <font>
      <b/>
      <sz val="14"/>
      <name val="Cambria"/>
      <family val="1"/>
      <scheme val="major"/>
    </font>
    <font>
      <sz val="12"/>
      <name val="Calibri"/>
      <family val="2"/>
      <scheme val="minor"/>
    </font>
    <font>
      <b/>
      <sz val="14"/>
      <name val="Calibri"/>
      <family val="2"/>
      <scheme val="minor"/>
    </font>
    <font>
      <b/>
      <sz val="13"/>
      <name val="Calibri"/>
      <family val="2"/>
      <scheme val="minor"/>
    </font>
    <font>
      <b/>
      <sz val="12"/>
      <name val="Calibri"/>
      <family val="2"/>
      <scheme val="minor"/>
    </font>
    <font>
      <sz val="9"/>
      <name val="Calibri"/>
      <family val="2"/>
    </font>
    <font>
      <sz val="12"/>
      <name val="Courier"/>
    </font>
    <font>
      <sz val="12"/>
      <name val="Aptos"/>
      <family val="2"/>
    </font>
  </fonts>
  <fills count="23">
    <fill>
      <patternFill patternType="none"/>
    </fill>
    <fill>
      <patternFill patternType="gray125"/>
    </fill>
    <fill>
      <patternFill patternType="solid">
        <fgColor indexed="11"/>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35"/>
        <bgColor indexed="64"/>
      </patternFill>
    </fill>
    <fill>
      <patternFill patternType="solid">
        <fgColor indexed="13"/>
        <bgColor indexed="64"/>
      </patternFill>
    </fill>
    <fill>
      <patternFill patternType="solid">
        <fgColor indexed="34"/>
        <bgColor indexed="64"/>
      </patternFill>
    </fill>
    <fill>
      <patternFill patternType="solid">
        <fgColor indexed="41"/>
        <bgColor indexed="64"/>
      </patternFill>
    </fill>
    <fill>
      <patternFill patternType="solid">
        <fgColor rgb="FFFFFF99"/>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right/>
      <top/>
      <bottom style="medium">
        <color auto="1"/>
      </bottom>
      <diagonal/>
    </border>
    <border>
      <left/>
      <right/>
      <top style="medium">
        <color auto="1"/>
      </top>
      <bottom/>
      <diagonal/>
    </border>
  </borders>
  <cellStyleXfs count="513">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6"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 fillId="0" borderId="0"/>
    <xf numFmtId="0" fontId="2"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7" fillId="0" borderId="0"/>
    <xf numFmtId="0" fontId="27" fillId="0" borderId="0"/>
    <xf numFmtId="0" fontId="26"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7" fillId="0" borderId="0"/>
    <xf numFmtId="0" fontId="27" fillId="0" borderId="0"/>
    <xf numFmtId="0" fontId="27" fillId="0" borderId="0"/>
    <xf numFmtId="0" fontId="2" fillId="0" borderId="0"/>
    <xf numFmtId="0" fontId="2" fillId="0" borderId="0"/>
    <xf numFmtId="0" fontId="2" fillId="0" borderId="0"/>
    <xf numFmtId="0" fontId="29"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9" fillId="0" borderId="0"/>
    <xf numFmtId="0" fontId="27" fillId="0" borderId="0"/>
    <xf numFmtId="0" fontId="27" fillId="0" borderId="0"/>
    <xf numFmtId="0" fontId="27" fillId="0" borderId="0"/>
    <xf numFmtId="0" fontId="27" fillId="0" borderId="0"/>
    <xf numFmtId="0" fontId="29" fillId="0" borderId="0"/>
    <xf numFmtId="0" fontId="27" fillId="0" borderId="0"/>
    <xf numFmtId="0" fontId="2" fillId="0" borderId="0"/>
    <xf numFmtId="0" fontId="27" fillId="0" borderId="0"/>
    <xf numFmtId="0" fontId="2" fillId="0" borderId="0"/>
    <xf numFmtId="0" fontId="2" fillId="0" borderId="0"/>
    <xf numFmtId="0" fontId="27" fillId="0" borderId="0"/>
    <xf numFmtId="0" fontId="27" fillId="0" borderId="0"/>
    <xf numFmtId="0" fontId="2" fillId="0" borderId="0"/>
    <xf numFmtId="0" fontId="2" fillId="0" borderId="0"/>
    <xf numFmtId="0" fontId="27" fillId="0" borderId="0"/>
    <xf numFmtId="0" fontId="29" fillId="0" borderId="0"/>
    <xf numFmtId="0" fontId="27" fillId="0" borderId="0"/>
    <xf numFmtId="0" fontId="2" fillId="0" borderId="0"/>
    <xf numFmtId="0" fontId="27" fillId="0" borderId="0"/>
    <xf numFmtId="0" fontId="2" fillId="0" borderId="0"/>
    <xf numFmtId="0" fontId="2"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 fillId="0" borderId="0"/>
    <xf numFmtId="0" fontId="27" fillId="0" borderId="0"/>
    <xf numFmtId="0" fontId="27" fillId="0" borderId="0"/>
    <xf numFmtId="0" fontId="2" fillId="0" borderId="0"/>
    <xf numFmtId="0" fontId="2" fillId="0" borderId="0"/>
    <xf numFmtId="0" fontId="27"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7" fillId="0" borderId="0"/>
    <xf numFmtId="0" fontId="27" fillId="0" borderId="0"/>
    <xf numFmtId="0" fontId="27"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 fillId="0" borderId="0"/>
    <xf numFmtId="0" fontId="26"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7" fillId="0" borderId="0"/>
    <xf numFmtId="0" fontId="27" fillId="0" borderId="0"/>
    <xf numFmtId="0" fontId="2" fillId="0" borderId="0"/>
    <xf numFmtId="0" fontId="27" fillId="0" borderId="0"/>
    <xf numFmtId="0" fontId="26" fillId="0" borderId="0"/>
    <xf numFmtId="0" fontId="2" fillId="0" borderId="0"/>
    <xf numFmtId="0" fontId="2" fillId="0" borderId="0"/>
    <xf numFmtId="0" fontId="27" fillId="0" borderId="0"/>
    <xf numFmtId="0" fontId="27" fillId="0" borderId="0"/>
    <xf numFmtId="0" fontId="2" fillId="0" borderId="0"/>
    <xf numFmtId="0" fontId="27" fillId="0" borderId="0"/>
    <xf numFmtId="0" fontId="26" fillId="0" borderId="0"/>
    <xf numFmtId="0" fontId="2" fillId="0" borderId="0"/>
    <xf numFmtId="0" fontId="26" fillId="0" borderId="0"/>
    <xf numFmtId="0" fontId="2"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6" fillId="0" borderId="0"/>
    <xf numFmtId="0" fontId="2" fillId="0" borderId="0"/>
    <xf numFmtId="0" fontId="27" fillId="0" borderId="0"/>
    <xf numFmtId="0" fontId="27" fillId="0" borderId="0"/>
    <xf numFmtId="0" fontId="2" fillId="0" borderId="0"/>
    <xf numFmtId="0" fontId="26" fillId="0" borderId="0"/>
    <xf numFmtId="0" fontId="2" fillId="0" borderId="0"/>
    <xf numFmtId="0" fontId="2" fillId="0" borderId="0"/>
    <xf numFmtId="0" fontId="27" fillId="0" borderId="0"/>
    <xf numFmtId="0" fontId="26" fillId="0" borderId="0"/>
    <xf numFmtId="0" fontId="2" fillId="0" borderId="0"/>
    <xf numFmtId="0" fontId="26" fillId="0" borderId="0"/>
    <xf numFmtId="0" fontId="2" fillId="0" borderId="0"/>
    <xf numFmtId="0" fontId="2" fillId="0" borderId="0"/>
    <xf numFmtId="0" fontId="27" fillId="0" borderId="0"/>
    <xf numFmtId="0" fontId="26" fillId="0" borderId="0"/>
    <xf numFmtId="0" fontId="2" fillId="0" borderId="0"/>
    <xf numFmtId="0" fontId="2" fillId="0" borderId="0"/>
    <xf numFmtId="0" fontId="2" fillId="0" borderId="0"/>
    <xf numFmtId="0" fontId="27" fillId="0" borderId="0"/>
    <xf numFmtId="0" fontId="27" fillId="0" borderId="0"/>
    <xf numFmtId="0" fontId="2" fillId="0" borderId="0"/>
    <xf numFmtId="0" fontId="27" fillId="0" borderId="0"/>
    <xf numFmtId="0" fontId="27"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7" fillId="0" borderId="0"/>
    <xf numFmtId="0" fontId="27" fillId="0" borderId="0"/>
    <xf numFmtId="0" fontId="26" fillId="0" borderId="0"/>
    <xf numFmtId="0" fontId="2" fillId="0" borderId="0"/>
    <xf numFmtId="0" fontId="2" fillId="0" borderId="0"/>
    <xf numFmtId="0" fontId="27" fillId="0" borderId="0"/>
    <xf numFmtId="0" fontId="2" fillId="0" borderId="0"/>
    <xf numFmtId="0" fontId="2" fillId="0" borderId="0"/>
    <xf numFmtId="0" fontId="27" fillId="0" borderId="0"/>
    <xf numFmtId="0" fontId="26"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7" fillId="0" borderId="0"/>
    <xf numFmtId="0" fontId="27" fillId="0" borderId="0"/>
    <xf numFmtId="0" fontId="2" fillId="0" borderId="0"/>
    <xf numFmtId="0" fontId="27" fillId="0" borderId="0"/>
    <xf numFmtId="0" fontId="27" fillId="0" borderId="0"/>
    <xf numFmtId="0" fontId="2" fillId="0" borderId="0"/>
    <xf numFmtId="0" fontId="26" fillId="0" borderId="0"/>
    <xf numFmtId="0" fontId="2" fillId="0" borderId="0"/>
    <xf numFmtId="0" fontId="2" fillId="0" borderId="0"/>
    <xf numFmtId="0" fontId="27" fillId="0" borderId="0"/>
    <xf numFmtId="0" fontId="2" fillId="0" borderId="0"/>
    <xf numFmtId="0" fontId="2" fillId="0" borderId="0"/>
    <xf numFmtId="0" fontId="27" fillId="0" borderId="0"/>
    <xf numFmtId="0" fontId="26"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7"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7"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7" fillId="0" borderId="0"/>
    <xf numFmtId="0" fontId="2" fillId="0" borderId="0"/>
    <xf numFmtId="0" fontId="26" fillId="0" borderId="0"/>
    <xf numFmtId="0" fontId="2" fillId="0" borderId="0"/>
    <xf numFmtId="0" fontId="27"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7" fillId="0" borderId="0"/>
    <xf numFmtId="0" fontId="27" fillId="0" borderId="0"/>
    <xf numFmtId="0" fontId="27"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7" fillId="0" borderId="0"/>
    <xf numFmtId="0" fontId="27" fillId="0" borderId="0"/>
    <xf numFmtId="0" fontId="27"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 fillId="0" borderId="0"/>
    <xf numFmtId="0" fontId="27" fillId="0" borderId="0"/>
    <xf numFmtId="0" fontId="27" fillId="0" borderId="0"/>
    <xf numFmtId="0" fontId="27" fillId="0" borderId="0"/>
    <xf numFmtId="0" fontId="2" fillId="0" borderId="0"/>
    <xf numFmtId="0" fontId="27" fillId="0" borderId="0"/>
    <xf numFmtId="0" fontId="2" fillId="0" borderId="0"/>
    <xf numFmtId="0" fontId="27" fillId="0" borderId="0"/>
    <xf numFmtId="0" fontId="27" fillId="0" borderId="0"/>
    <xf numFmtId="0" fontId="27" fillId="0" borderId="0"/>
    <xf numFmtId="0" fontId="2" fillId="0" borderId="0"/>
    <xf numFmtId="0" fontId="2" fillId="0" borderId="0"/>
    <xf numFmtId="0" fontId="27" fillId="0" borderId="0"/>
    <xf numFmtId="0" fontId="2" fillId="0" borderId="0"/>
    <xf numFmtId="0" fontId="2"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 fillId="0" borderId="0"/>
    <xf numFmtId="0" fontId="27" fillId="0" borderId="0"/>
    <xf numFmtId="0" fontId="27" fillId="0" borderId="0"/>
    <xf numFmtId="0" fontId="2" fillId="0" borderId="0"/>
    <xf numFmtId="0" fontId="27" fillId="0" borderId="0"/>
    <xf numFmtId="0" fontId="27" fillId="0" borderId="0"/>
    <xf numFmtId="0" fontId="2" fillId="0" borderId="0"/>
    <xf numFmtId="0" fontId="27" fillId="0" borderId="0"/>
    <xf numFmtId="0" fontId="2" fillId="0" borderId="0"/>
    <xf numFmtId="0" fontId="2"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6" fillId="0" borderId="0"/>
    <xf numFmtId="0" fontId="2" fillId="0" borderId="0"/>
    <xf numFmtId="0" fontId="2" fillId="0" borderId="0"/>
    <xf numFmtId="0" fontId="2" fillId="0" borderId="0"/>
    <xf numFmtId="0" fontId="27" fillId="0" borderId="0"/>
    <xf numFmtId="0" fontId="2" fillId="0" borderId="0"/>
    <xf numFmtId="0" fontId="27" fillId="0" borderId="0"/>
    <xf numFmtId="0" fontId="27" fillId="0" borderId="0"/>
    <xf numFmtId="0" fontId="2" fillId="0" borderId="0"/>
    <xf numFmtId="0" fontId="2" fillId="0" borderId="0"/>
    <xf numFmtId="0" fontId="27"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7" fillId="0" borderId="0"/>
    <xf numFmtId="0" fontId="2" fillId="0" borderId="0"/>
    <xf numFmtId="0" fontId="27" fillId="0" borderId="0"/>
    <xf numFmtId="0" fontId="27" fillId="0" borderId="0"/>
    <xf numFmtId="0" fontId="27" fillId="0" borderId="0"/>
    <xf numFmtId="0" fontId="2"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7" fillId="0" borderId="0"/>
    <xf numFmtId="0" fontId="2" fillId="0" borderId="0"/>
    <xf numFmtId="0" fontId="2" fillId="0" borderId="0"/>
    <xf numFmtId="0" fontId="27" fillId="0" borderId="0"/>
    <xf numFmtId="0" fontId="2" fillId="0" borderId="0"/>
    <xf numFmtId="0" fontId="2" fillId="0" borderId="0"/>
    <xf numFmtId="0" fontId="4" fillId="0" borderId="0"/>
    <xf numFmtId="44" fontId="66" fillId="0" borderId="0" applyFont="0" applyFill="0" applyBorder="0" applyAlignment="0" applyProtection="0"/>
  </cellStyleXfs>
  <cellXfs count="838">
    <xf numFmtId="0" fontId="0" fillId="0" borderId="0" xfId="0"/>
    <xf numFmtId="0" fontId="4" fillId="0" borderId="0" xfId="0" applyFont="1"/>
    <xf numFmtId="0" fontId="4" fillId="0" borderId="0" xfId="0" applyFont="1" applyProtection="1">
      <protection locked="0"/>
    </xf>
    <xf numFmtId="0" fontId="4" fillId="2" borderId="1" xfId="0" applyFont="1" applyFill="1" applyBorder="1" applyProtection="1">
      <protection locked="0"/>
    </xf>
    <xf numFmtId="0" fontId="4" fillId="3" borderId="2" xfId="0" applyFont="1" applyFill="1" applyBorder="1"/>
    <xf numFmtId="0" fontId="4" fillId="3" borderId="0" xfId="0" applyFont="1" applyFill="1"/>
    <xf numFmtId="0" fontId="4" fillId="3" borderId="0" xfId="0" applyFont="1" applyFill="1" applyAlignment="1">
      <alignment horizontal="right"/>
    </xf>
    <xf numFmtId="37" fontId="4" fillId="3" borderId="0" xfId="0" applyNumberFormat="1" applyFont="1" applyFill="1" applyAlignment="1">
      <alignment horizontal="right"/>
    </xf>
    <xf numFmtId="0" fontId="4" fillId="3" borderId="0" xfId="0" applyFont="1" applyFill="1" applyAlignment="1">
      <alignment horizontal="centerContinuous"/>
    </xf>
    <xf numFmtId="0" fontId="4" fillId="3" borderId="3" xfId="0" applyFont="1" applyFill="1" applyBorder="1"/>
    <xf numFmtId="37" fontId="4" fillId="3" borderId="0" xfId="0" applyNumberFormat="1" applyFont="1" applyFill="1"/>
    <xf numFmtId="0" fontId="3" fillId="3" borderId="0" xfId="510" applyFont="1" applyFill="1" applyAlignment="1">
      <alignment horizontal="centerContinuous"/>
    </xf>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3" borderId="5" xfId="0" applyFont="1" applyFill="1" applyBorder="1" applyAlignment="1">
      <alignment horizontal="center"/>
    </xf>
    <xf numFmtId="0" fontId="4" fillId="3" borderId="2" xfId="0" applyFont="1" applyFill="1" applyBorder="1" applyAlignment="1">
      <alignment horizontal="fill"/>
    </xf>
    <xf numFmtId="0" fontId="3" fillId="3" borderId="0" xfId="0" applyFont="1" applyFill="1" applyAlignment="1">
      <alignment horizontal="left"/>
    </xf>
    <xf numFmtId="0" fontId="6" fillId="3" borderId="5" xfId="0" applyFont="1" applyFill="1" applyBorder="1" applyAlignment="1">
      <alignment horizontal="center"/>
    </xf>
    <xf numFmtId="0" fontId="4" fillId="3" borderId="0" xfId="0" applyFont="1" applyFill="1" applyAlignment="1">
      <alignment horizontal="center"/>
    </xf>
    <xf numFmtId="2" fontId="4" fillId="2" borderId="1" xfId="0" applyNumberFormat="1" applyFont="1" applyFill="1" applyBorder="1" applyAlignment="1" applyProtection="1">
      <alignment horizontal="center"/>
      <protection locked="0"/>
    </xf>
    <xf numFmtId="3" fontId="4" fillId="2" borderId="1"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3" fontId="3" fillId="4" borderId="6" xfId="0" applyNumberFormat="1" applyFont="1" applyFill="1" applyBorder="1" applyAlignment="1">
      <alignment horizontal="center"/>
    </xf>
    <xf numFmtId="14" fontId="4" fillId="2" borderId="1" xfId="0" applyNumberFormat="1" applyFont="1" applyFill="1" applyBorder="1" applyAlignment="1" applyProtection="1">
      <alignment horizontal="center"/>
      <protection locked="0"/>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pplyProtection="1">
      <alignment vertical="center"/>
      <protection locked="0"/>
    </xf>
    <xf numFmtId="37" fontId="3" fillId="3" borderId="0" xfId="0" applyNumberFormat="1" applyFont="1" applyFill="1" applyAlignment="1">
      <alignment horizontal="left" vertical="center"/>
    </xf>
    <xf numFmtId="0" fontId="4" fillId="3" borderId="0" xfId="0" applyFont="1" applyFill="1" applyAlignment="1">
      <alignment vertical="center"/>
    </xf>
    <xf numFmtId="37" fontId="4" fillId="3" borderId="0" xfId="0" applyNumberFormat="1" applyFont="1" applyFill="1" applyAlignment="1">
      <alignment horizontal="left" vertical="center"/>
    </xf>
    <xf numFmtId="37" fontId="4" fillId="3" borderId="0" xfId="0" applyNumberFormat="1" applyFont="1" applyFill="1" applyAlignment="1" applyProtection="1">
      <alignment horizontal="left" vertical="center"/>
      <protection locked="0"/>
    </xf>
    <xf numFmtId="0" fontId="3" fillId="6" borderId="1" xfId="0" applyFont="1" applyFill="1" applyBorder="1" applyAlignment="1" applyProtection="1">
      <alignment horizontal="center" vertical="center"/>
      <protection locked="0"/>
    </xf>
    <xf numFmtId="37" fontId="3" fillId="3" borderId="0" xfId="0" applyNumberFormat="1" applyFont="1" applyFill="1" applyAlignment="1">
      <alignment horizontal="centerContinuous" vertical="center"/>
    </xf>
    <xf numFmtId="0" fontId="4" fillId="3" borderId="0" xfId="0" applyFont="1" applyFill="1" applyAlignment="1">
      <alignment horizontal="centerContinuous" vertical="center"/>
    </xf>
    <xf numFmtId="0" fontId="4" fillId="7" borderId="3" xfId="0" applyFont="1" applyFill="1" applyBorder="1" applyAlignment="1">
      <alignment horizontal="center" vertical="center"/>
    </xf>
    <xf numFmtId="37" fontId="4" fillId="3" borderId="7" xfId="0" applyNumberFormat="1" applyFont="1" applyFill="1" applyBorder="1" applyAlignment="1">
      <alignment horizontal="center" vertical="center"/>
    </xf>
    <xf numFmtId="37" fontId="4" fillId="7" borderId="5" xfId="0" applyNumberFormat="1" applyFont="1" applyFill="1" applyBorder="1" applyAlignment="1">
      <alignment horizontal="center" vertical="center"/>
    </xf>
    <xf numFmtId="37" fontId="4" fillId="3" borderId="1" xfId="0" applyNumberFormat="1" applyFont="1" applyFill="1" applyBorder="1" applyAlignment="1">
      <alignment horizontal="left" vertical="center"/>
    </xf>
    <xf numFmtId="0" fontId="4" fillId="3" borderId="1" xfId="0" applyFont="1" applyFill="1" applyBorder="1" applyAlignment="1">
      <alignment vertical="center"/>
    </xf>
    <xf numFmtId="3" fontId="4" fillId="2" borderId="1" xfId="0" applyNumberFormat="1" applyFont="1" applyFill="1" applyBorder="1" applyAlignment="1" applyProtection="1">
      <alignment vertical="center"/>
      <protection locked="0"/>
    </xf>
    <xf numFmtId="0" fontId="0" fillId="3" borderId="0" xfId="0" applyFill="1" applyAlignment="1">
      <alignment vertical="center"/>
    </xf>
    <xf numFmtId="0" fontId="4" fillId="2" borderId="1" xfId="0" applyFont="1" applyFill="1" applyBorder="1" applyAlignment="1" applyProtection="1">
      <alignment vertical="center"/>
      <protection locked="0"/>
    </xf>
    <xf numFmtId="37" fontId="4" fillId="3" borderId="2" xfId="0" applyNumberFormat="1" applyFont="1" applyFill="1" applyBorder="1" applyAlignment="1">
      <alignment horizontal="left" vertical="center"/>
    </xf>
    <xf numFmtId="0" fontId="4" fillId="3" borderId="2" xfId="0" applyFont="1" applyFill="1" applyBorder="1" applyAlignment="1">
      <alignment vertical="center"/>
    </xf>
    <xf numFmtId="0" fontId="4" fillId="3" borderId="8" xfId="0" applyFont="1" applyFill="1" applyBorder="1" applyAlignment="1">
      <alignment vertical="center"/>
    </xf>
    <xf numFmtId="37" fontId="4" fillId="3" borderId="9" xfId="0" applyNumberFormat="1" applyFont="1" applyFill="1" applyBorder="1" applyAlignment="1">
      <alignment vertical="center"/>
    </xf>
    <xf numFmtId="37" fontId="4" fillId="4" borderId="9" xfId="0" applyNumberFormat="1" applyFont="1" applyFill="1" applyBorder="1" applyAlignment="1">
      <alignment vertical="center"/>
    </xf>
    <xf numFmtId="37" fontId="4" fillId="3" borderId="0" xfId="0" applyNumberFormat="1" applyFont="1" applyFill="1" applyAlignment="1">
      <alignment vertical="center"/>
    </xf>
    <xf numFmtId="164" fontId="4" fillId="2" borderId="1" xfId="0" applyNumberFormat="1" applyFont="1" applyFill="1" applyBorder="1" applyAlignment="1" applyProtection="1">
      <alignment vertical="center"/>
      <protection locked="0"/>
    </xf>
    <xf numFmtId="0" fontId="4" fillId="3" borderId="7" xfId="0" applyFont="1" applyFill="1" applyBorder="1" applyAlignment="1">
      <alignment vertical="center"/>
    </xf>
    <xf numFmtId="3" fontId="4" fillId="4" borderId="1" xfId="0" applyNumberFormat="1" applyFont="1" applyFill="1" applyBorder="1" applyAlignment="1">
      <alignment vertical="center"/>
    </xf>
    <xf numFmtId="3" fontId="4" fillId="3" borderId="0" xfId="0" applyNumberFormat="1" applyFont="1" applyFill="1" applyAlignment="1" applyProtection="1">
      <alignment vertical="center"/>
      <protection locked="0"/>
    </xf>
    <xf numFmtId="37" fontId="4" fillId="3" borderId="1" xfId="0" applyNumberFormat="1" applyFont="1" applyFill="1" applyBorder="1" applyAlignment="1">
      <alignment vertical="center"/>
    </xf>
    <xf numFmtId="164" fontId="4" fillId="4" borderId="1" xfId="0" applyNumberFormat="1" applyFont="1" applyFill="1" applyBorder="1" applyAlignment="1">
      <alignment vertical="center"/>
    </xf>
    <xf numFmtId="0" fontId="4" fillId="3" borderId="9" xfId="0" applyFont="1" applyFill="1" applyBorder="1" applyAlignment="1">
      <alignment vertical="center"/>
    </xf>
    <xf numFmtId="0" fontId="5" fillId="3" borderId="0" xfId="0" applyFont="1" applyFill="1" applyAlignment="1">
      <alignment horizontal="center" vertical="center"/>
    </xf>
    <xf numFmtId="3" fontId="4" fillId="3" borderId="0" xfId="0" applyNumberFormat="1" applyFont="1" applyFill="1" applyAlignment="1">
      <alignment vertical="center"/>
    </xf>
    <xf numFmtId="0" fontId="4" fillId="3" borderId="0" xfId="0" applyFont="1" applyFill="1" applyAlignment="1" applyProtection="1">
      <alignment vertical="center"/>
      <protection locked="0"/>
    </xf>
    <xf numFmtId="0" fontId="4" fillId="3" borderId="2" xfId="0" applyFont="1" applyFill="1" applyBorder="1" applyAlignment="1">
      <alignment horizontal="center" vertical="center"/>
    </xf>
    <xf numFmtId="0" fontId="4" fillId="3" borderId="2"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3" fontId="4" fillId="6" borderId="1" xfId="0" applyNumberFormat="1" applyFont="1" applyFill="1" applyBorder="1" applyAlignment="1" applyProtection="1">
      <alignment vertical="center"/>
      <protection locked="0"/>
    </xf>
    <xf numFmtId="0" fontId="4" fillId="8" borderId="8" xfId="0" applyFont="1" applyFill="1" applyBorder="1" applyAlignment="1">
      <alignment vertical="center"/>
    </xf>
    <xf numFmtId="0" fontId="4" fillId="3" borderId="9" xfId="0" applyFont="1" applyFill="1" applyBorder="1" applyAlignment="1" applyProtection="1">
      <alignment vertical="center"/>
      <protection locked="0"/>
    </xf>
    <xf numFmtId="0" fontId="0" fillId="0" borderId="0" xfId="0" applyAlignment="1">
      <alignment vertical="center"/>
    </xf>
    <xf numFmtId="37" fontId="4" fillId="3" borderId="8" xfId="0" applyNumberFormat="1" applyFont="1" applyFill="1" applyBorder="1" applyAlignment="1">
      <alignment horizontal="left" vertical="center"/>
    </xf>
    <xf numFmtId="37" fontId="4" fillId="6" borderId="1" xfId="0" applyNumberFormat="1" applyFont="1" applyFill="1" applyBorder="1" applyAlignment="1" applyProtection="1">
      <alignment vertical="center"/>
      <protection locked="0"/>
    </xf>
    <xf numFmtId="37" fontId="3" fillId="3" borderId="8" xfId="0" applyNumberFormat="1" applyFont="1" applyFill="1" applyBorder="1" applyAlignment="1">
      <alignment horizontal="left" vertical="center"/>
    </xf>
    <xf numFmtId="0" fontId="11" fillId="3" borderId="0" xfId="0" applyFont="1" applyFill="1" applyAlignment="1">
      <alignment horizontal="center" vertical="center"/>
    </xf>
    <xf numFmtId="0" fontId="4" fillId="3" borderId="10" xfId="0" applyFont="1" applyFill="1" applyBorder="1" applyAlignment="1">
      <alignment vertical="center"/>
    </xf>
    <xf numFmtId="0" fontId="0" fillId="3" borderId="2" xfId="0" applyFill="1" applyBorder="1" applyAlignment="1">
      <alignment vertical="center"/>
    </xf>
    <xf numFmtId="3" fontId="4" fillId="3" borderId="7" xfId="0" applyNumberFormat="1" applyFont="1" applyFill="1" applyBorder="1" applyAlignment="1">
      <alignment vertical="center"/>
    </xf>
    <xf numFmtId="3" fontId="4" fillId="3" borderId="9"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0" fillId="5" borderId="0" xfId="0" applyFill="1" applyAlignment="1">
      <alignment vertical="center"/>
    </xf>
    <xf numFmtId="0" fontId="4" fillId="7" borderId="5" xfId="0" applyFont="1" applyFill="1" applyBorder="1" applyAlignment="1">
      <alignment horizontal="center" vertical="center"/>
    </xf>
    <xf numFmtId="0" fontId="14" fillId="3" borderId="0" xfId="0" applyFont="1" applyFill="1" applyAlignment="1">
      <alignment vertical="center"/>
    </xf>
    <xf numFmtId="0" fontId="17" fillId="3" borderId="0" xfId="0" applyFont="1" applyFill="1" applyAlignment="1">
      <alignment vertical="center"/>
    </xf>
    <xf numFmtId="0" fontId="4" fillId="3" borderId="0" xfId="0" applyFont="1" applyFill="1" applyAlignment="1">
      <alignment horizontal="right" vertical="center"/>
    </xf>
    <xf numFmtId="37" fontId="4" fillId="3" borderId="0" xfId="0" applyNumberFormat="1" applyFont="1" applyFill="1" applyAlignment="1">
      <alignment horizontal="centerContinuous" vertical="center"/>
    </xf>
    <xf numFmtId="37" fontId="4" fillId="3" borderId="11" xfId="0" applyNumberFormat="1" applyFont="1" applyFill="1" applyBorder="1" applyAlignment="1">
      <alignment horizontal="centerContinuous" vertical="center"/>
    </xf>
    <xf numFmtId="0" fontId="4" fillId="3" borderId="8" xfId="0" applyFont="1" applyFill="1" applyBorder="1" applyAlignment="1">
      <alignment horizontal="centerContinuous" vertical="center"/>
    </xf>
    <xf numFmtId="0" fontId="4" fillId="3" borderId="9" xfId="0" applyFont="1" applyFill="1" applyBorder="1" applyAlignment="1">
      <alignment horizontal="centerContinuous" vertical="center"/>
    </xf>
    <xf numFmtId="37" fontId="4" fillId="3" borderId="2" xfId="0" applyNumberFormat="1" applyFont="1" applyFill="1" applyBorder="1" applyAlignment="1">
      <alignment horizontal="fill" vertical="center"/>
    </xf>
    <xf numFmtId="37" fontId="4" fillId="3" borderId="3" xfId="0" applyNumberFormat="1" applyFont="1" applyFill="1" applyBorder="1" applyAlignment="1">
      <alignment horizontal="left" vertical="center"/>
    </xf>
    <xf numFmtId="37" fontId="4" fillId="3" borderId="3" xfId="0" applyNumberFormat="1" applyFont="1" applyFill="1" applyBorder="1" applyAlignment="1">
      <alignment horizontal="center" vertical="center"/>
    </xf>
    <xf numFmtId="37" fontId="4" fillId="3" borderId="4" xfId="0" applyNumberFormat="1" applyFont="1" applyFill="1" applyBorder="1" applyAlignment="1">
      <alignment horizontal="center" vertical="center"/>
    </xf>
    <xf numFmtId="0" fontId="4" fillId="3" borderId="4" xfId="0" applyFont="1" applyFill="1" applyBorder="1" applyAlignment="1">
      <alignment horizontal="center" vertical="center"/>
    </xf>
    <xf numFmtId="37" fontId="3" fillId="3" borderId="2" xfId="0" applyNumberFormat="1" applyFont="1" applyFill="1" applyBorder="1" applyAlignment="1">
      <alignment horizontal="left" vertical="center"/>
    </xf>
    <xf numFmtId="37" fontId="4" fillId="3"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37" fontId="4" fillId="3" borderId="11" xfId="0" applyNumberFormat="1" applyFont="1" applyFill="1" applyBorder="1" applyAlignment="1">
      <alignment horizontal="left" vertical="center"/>
    </xf>
    <xf numFmtId="37" fontId="4" fillId="3" borderId="1" xfId="0" applyNumberFormat="1" applyFont="1" applyFill="1" applyBorder="1" applyAlignment="1">
      <alignment horizontal="center" vertical="center"/>
    </xf>
    <xf numFmtId="0" fontId="4" fillId="3" borderId="3" xfId="0" applyFont="1" applyFill="1" applyBorder="1" applyAlignment="1">
      <alignment vertical="center"/>
    </xf>
    <xf numFmtId="0" fontId="4" fillId="3" borderId="4" xfId="0" applyFont="1" applyFill="1" applyBorder="1" applyAlignment="1">
      <alignment vertical="center"/>
    </xf>
    <xf numFmtId="37" fontId="11" fillId="3" borderId="11" xfId="0" applyNumberFormat="1" applyFont="1" applyFill="1" applyBorder="1" applyAlignment="1">
      <alignment horizontal="left" vertical="center"/>
    </xf>
    <xf numFmtId="37" fontId="11" fillId="3" borderId="9"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vertical="center"/>
    </xf>
    <xf numFmtId="37" fontId="4" fillId="4" borderId="1" xfId="0" applyNumberFormat="1" applyFont="1" applyFill="1" applyBorder="1" applyAlignment="1">
      <alignment horizontal="center" vertical="center"/>
    </xf>
    <xf numFmtId="37" fontId="4" fillId="3" borderId="11" xfId="0" applyNumberFormat="1" applyFont="1" applyFill="1" applyBorder="1" applyAlignment="1">
      <alignment vertical="center"/>
    </xf>
    <xf numFmtId="0" fontId="4" fillId="3" borderId="9" xfId="0" applyFont="1" applyFill="1" applyBorder="1" applyAlignment="1">
      <alignment horizontal="center" vertical="center"/>
    </xf>
    <xf numFmtId="37" fontId="4" fillId="3" borderId="9" xfId="0" applyNumberFormat="1" applyFont="1" applyFill="1" applyBorder="1" applyAlignment="1">
      <alignment horizontal="center" vertical="center"/>
    </xf>
    <xf numFmtId="0" fontId="4" fillId="3" borderId="12" xfId="0" applyFont="1" applyFill="1" applyBorder="1" applyAlignment="1">
      <alignment horizontal="center" vertical="center"/>
    </xf>
    <xf numFmtId="0" fontId="4" fillId="3" borderId="13" xfId="0" applyFont="1" applyFill="1" applyBorder="1" applyAlignment="1">
      <alignment horizontal="center" vertical="center"/>
    </xf>
    <xf numFmtId="37" fontId="4" fillId="3" borderId="0" xfId="0" applyNumberFormat="1" applyFont="1" applyFill="1" applyAlignment="1">
      <alignment horizontal="right" vertical="center"/>
    </xf>
    <xf numFmtId="0" fontId="4" fillId="3" borderId="0" xfId="0" applyFont="1" applyFill="1" applyAlignment="1">
      <alignment horizontal="left" vertical="center"/>
    </xf>
    <xf numFmtId="0" fontId="4" fillId="3" borderId="0" xfId="0" applyFont="1" applyFill="1" applyAlignment="1">
      <alignment horizontal="center" vertical="center"/>
    </xf>
    <xf numFmtId="0" fontId="3" fillId="3" borderId="0" xfId="0" applyFont="1" applyFill="1" applyAlignment="1">
      <alignment horizontal="center" vertical="center"/>
    </xf>
    <xf numFmtId="3" fontId="4" fillId="3" borderId="2" xfId="0" applyNumberFormat="1" applyFont="1" applyFill="1" applyBorder="1" applyAlignment="1">
      <alignment vertical="center"/>
    </xf>
    <xf numFmtId="3" fontId="4" fillId="3" borderId="10" xfId="0" applyNumberFormat="1" applyFont="1" applyFill="1" applyBorder="1" applyAlignment="1">
      <alignment vertical="center"/>
    </xf>
    <xf numFmtId="0" fontId="4" fillId="3" borderId="2" xfId="0" applyFont="1" applyFill="1" applyBorder="1" applyAlignment="1">
      <alignment horizontal="centerContinuous" vertical="center"/>
    </xf>
    <xf numFmtId="0" fontId="4" fillId="3" borderId="3" xfId="0" applyFont="1" applyFill="1" applyBorder="1" applyAlignment="1">
      <alignment horizontal="center" vertical="center"/>
    </xf>
    <xf numFmtId="166" fontId="4" fillId="3" borderId="0" xfId="0" applyNumberFormat="1" applyFont="1" applyFill="1" applyAlignment="1">
      <alignment vertical="center"/>
    </xf>
    <xf numFmtId="37" fontId="4" fillId="3" borderId="2" xfId="0" applyNumberFormat="1" applyFont="1" applyFill="1" applyBorder="1" applyAlignment="1">
      <alignment vertical="center"/>
    </xf>
    <xf numFmtId="165" fontId="4" fillId="4" borderId="2" xfId="0" applyNumberFormat="1" applyFont="1" applyFill="1" applyBorder="1" applyAlignment="1">
      <alignment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0" fontId="4" fillId="6" borderId="5" xfId="0" applyFont="1" applyFill="1" applyBorder="1" applyAlignment="1" applyProtection="1">
      <alignment vertical="center"/>
      <protection locked="0"/>
    </xf>
    <xf numFmtId="169" fontId="4" fillId="6" borderId="5" xfId="1" applyNumberFormat="1" applyFont="1" applyFill="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1" xfId="0" applyFont="1" applyFill="1" applyBorder="1" applyAlignment="1" applyProtection="1">
      <alignment vertical="center"/>
      <protection locked="0"/>
    </xf>
    <xf numFmtId="169" fontId="4" fillId="6" borderId="1" xfId="1" applyNumberFormat="1" applyFont="1" applyFill="1" applyBorder="1" applyAlignment="1" applyProtection="1">
      <alignment horizontal="center" vertical="center"/>
      <protection locked="0"/>
    </xf>
    <xf numFmtId="0" fontId="3" fillId="3" borderId="1" xfId="0" applyFont="1" applyFill="1" applyBorder="1" applyAlignment="1">
      <alignment horizontal="center" vertical="center"/>
    </xf>
    <xf numFmtId="3" fontId="4" fillId="4" borderId="1" xfId="0" applyNumberFormat="1" applyFont="1" applyFill="1" applyBorder="1" applyAlignment="1">
      <alignment horizontal="center" vertical="center"/>
    </xf>
    <xf numFmtId="0" fontId="4" fillId="3" borderId="0" xfId="0" applyFont="1" applyFill="1" applyAlignment="1" applyProtection="1">
      <alignment horizontal="center" vertical="center"/>
      <protection locked="0"/>
    </xf>
    <xf numFmtId="37" fontId="3" fillId="3" borderId="1" xfId="0" applyNumberFormat="1" applyFont="1" applyFill="1" applyBorder="1" applyAlignment="1">
      <alignment horizontal="center" vertical="center"/>
    </xf>
    <xf numFmtId="1" fontId="4" fillId="3" borderId="0" xfId="0" applyNumberFormat="1" applyFont="1" applyFill="1" applyAlignment="1">
      <alignment horizontal="right" vertical="center"/>
    </xf>
    <xf numFmtId="0" fontId="3" fillId="3" borderId="0" xfId="510" applyFont="1" applyFill="1" applyAlignment="1">
      <alignment horizontal="centerContinuous" vertical="center"/>
    </xf>
    <xf numFmtId="0" fontId="4" fillId="3" borderId="2" xfId="0" applyFont="1" applyFill="1" applyBorder="1" applyAlignment="1">
      <alignment horizontal="fill" vertical="center"/>
    </xf>
    <xf numFmtId="0" fontId="4" fillId="3" borderId="14" xfId="0" applyFont="1" applyFill="1" applyBorder="1" applyAlignment="1">
      <alignment horizontal="centerContinuous" vertical="center"/>
    </xf>
    <xf numFmtId="0" fontId="4" fillId="3" borderId="13" xfId="0" applyFont="1" applyFill="1" applyBorder="1" applyAlignment="1">
      <alignment horizontal="centerContinuous" vertical="center"/>
    </xf>
    <xf numFmtId="1" fontId="4" fillId="3" borderId="15" xfId="0" applyNumberFormat="1" applyFont="1" applyFill="1" applyBorder="1" applyAlignment="1">
      <alignment horizontal="center" vertical="center"/>
    </xf>
    <xf numFmtId="0" fontId="4" fillId="3" borderId="1" xfId="0" applyFont="1" applyFill="1" applyBorder="1" applyAlignment="1">
      <alignment horizontal="left" vertical="center"/>
    </xf>
    <xf numFmtId="2" fontId="4" fillId="3" borderId="1" xfId="0" applyNumberFormat="1" applyFont="1" applyFill="1" applyBorder="1" applyAlignment="1">
      <alignment vertical="center"/>
    </xf>
    <xf numFmtId="3" fontId="4" fillId="3" borderId="1" xfId="0" applyNumberFormat="1" applyFont="1" applyFill="1" applyBorder="1" applyAlignment="1">
      <alignment vertical="center"/>
    </xf>
    <xf numFmtId="2" fontId="4" fillId="2" borderId="1" xfId="0" applyNumberFormat="1" applyFont="1" applyFill="1" applyBorder="1" applyAlignment="1" applyProtection="1">
      <alignment horizontal="center" vertical="center"/>
      <protection locked="0"/>
    </xf>
    <xf numFmtId="3" fontId="4" fillId="2" borderId="1"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168" fontId="4" fillId="2" borderId="1" xfId="0" applyNumberFormat="1" applyFont="1" applyFill="1" applyBorder="1" applyAlignment="1" applyProtection="1">
      <alignment horizontal="center" vertical="center"/>
      <protection locked="0"/>
    </xf>
    <xf numFmtId="0" fontId="3" fillId="3" borderId="1" xfId="0" applyFont="1" applyFill="1" applyBorder="1" applyAlignment="1">
      <alignment horizontal="left" vertical="center"/>
    </xf>
    <xf numFmtId="167"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center" vertical="center"/>
    </xf>
    <xf numFmtId="3" fontId="3" fillId="3" borderId="1" xfId="0" applyNumberFormat="1" applyFont="1" applyFill="1" applyBorder="1" applyAlignment="1">
      <alignment horizontal="center" vertical="center"/>
    </xf>
    <xf numFmtId="37" fontId="3" fillId="4" borderId="1" xfId="0" applyNumberFormat="1" applyFont="1" applyFill="1" applyBorder="1" applyAlignment="1">
      <alignment horizontal="center" vertical="center"/>
    </xf>
    <xf numFmtId="168" fontId="3" fillId="3" borderId="1" xfId="0" applyNumberFormat="1" applyFont="1" applyFill="1" applyBorder="1" applyAlignment="1">
      <alignment horizontal="center" vertical="center"/>
    </xf>
    <xf numFmtId="167" fontId="4" fillId="3" borderId="1" xfId="0" applyNumberFormat="1" applyFont="1" applyFill="1" applyBorder="1" applyAlignment="1">
      <alignment horizontal="center" vertical="center"/>
    </xf>
    <xf numFmtId="2" fontId="4" fillId="3" borderId="1"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168" fontId="4" fillId="3" borderId="1" xfId="0" applyNumberFormat="1" applyFont="1" applyFill="1" applyBorder="1" applyAlignment="1">
      <alignment horizontal="center" vertical="center"/>
    </xf>
    <xf numFmtId="1" fontId="3" fillId="3" borderId="1" xfId="0" applyNumberFormat="1" applyFont="1" applyFill="1" applyBorder="1" applyAlignment="1">
      <alignment horizontal="center" vertical="center"/>
    </xf>
    <xf numFmtId="3" fontId="3" fillId="4" borderId="1" xfId="0" applyNumberFormat="1" applyFont="1" applyFill="1" applyBorder="1" applyAlignment="1">
      <alignment horizontal="center" vertical="center"/>
    </xf>
    <xf numFmtId="1" fontId="4" fillId="3" borderId="1" xfId="0" applyNumberFormat="1" applyFont="1" applyFill="1" applyBorder="1" applyAlignment="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3" fillId="3" borderId="0" xfId="0" applyFont="1" applyFill="1" applyAlignment="1">
      <alignment vertical="center"/>
    </xf>
    <xf numFmtId="0" fontId="4" fillId="3" borderId="0" xfId="0" applyFont="1" applyFill="1" applyAlignment="1">
      <alignment horizontal="fill" vertical="center"/>
    </xf>
    <xf numFmtId="0" fontId="4" fillId="3" borderId="11" xfId="0" applyFont="1" applyFill="1" applyBorder="1" applyAlignment="1">
      <alignment horizontal="left" vertical="center"/>
    </xf>
    <xf numFmtId="37" fontId="4" fillId="2" borderId="11" xfId="0" applyNumberFormat="1" applyFont="1" applyFill="1" applyBorder="1" applyAlignment="1" applyProtection="1">
      <alignment vertical="center"/>
      <protection locked="0"/>
    </xf>
    <xf numFmtId="37" fontId="4" fillId="2" borderId="9" xfId="0" applyNumberFormat="1" applyFont="1" applyFill="1" applyBorder="1" applyAlignment="1" applyProtection="1">
      <alignment vertical="center"/>
      <protection locked="0"/>
    </xf>
    <xf numFmtId="3" fontId="4" fillId="3" borderId="11" xfId="0" applyNumberFormat="1" applyFont="1" applyFill="1" applyBorder="1" applyAlignment="1">
      <alignment vertical="center"/>
    </xf>
    <xf numFmtId="0" fontId="4" fillId="3" borderId="15" xfId="0" applyFont="1" applyFill="1" applyBorder="1" applyAlignment="1">
      <alignment horizontal="left" vertical="center"/>
    </xf>
    <xf numFmtId="3" fontId="4" fillId="2" borderId="11" xfId="0" applyNumberFormat="1" applyFont="1" applyFill="1" applyBorder="1" applyAlignment="1" applyProtection="1">
      <alignment vertical="center"/>
      <protection locked="0"/>
    </xf>
    <xf numFmtId="3" fontId="4" fillId="2" borderId="9" xfId="0" applyNumberFormat="1" applyFont="1" applyFill="1" applyBorder="1" applyAlignment="1" applyProtection="1">
      <alignment vertical="center"/>
      <protection locked="0"/>
    </xf>
    <xf numFmtId="37" fontId="4" fillId="3" borderId="1" xfId="0" applyNumberFormat="1" applyFont="1" applyFill="1" applyBorder="1" applyAlignment="1">
      <alignment horizontal="fill" vertical="center"/>
    </xf>
    <xf numFmtId="37" fontId="4" fillId="2" borderId="1" xfId="0" applyNumberFormat="1" applyFont="1" applyFill="1" applyBorder="1" applyAlignment="1" applyProtection="1">
      <alignment vertical="center"/>
      <protection locked="0"/>
    </xf>
    <xf numFmtId="0" fontId="4" fillId="2" borderId="11" xfId="0" applyFont="1" applyFill="1" applyBorder="1" applyAlignment="1" applyProtection="1">
      <alignment horizontal="left" vertical="center"/>
      <protection locked="0"/>
    </xf>
    <xf numFmtId="37" fontId="14" fillId="9" borderId="11" xfId="0" applyNumberFormat="1" applyFont="1" applyFill="1" applyBorder="1" applyAlignment="1">
      <alignment horizontal="center" vertical="center"/>
    </xf>
    <xf numFmtId="37" fontId="14" fillId="9" borderId="9" xfId="0" applyNumberFormat="1" applyFont="1" applyFill="1" applyBorder="1" applyAlignment="1">
      <alignment horizontal="center" vertical="center"/>
    </xf>
    <xf numFmtId="37" fontId="3" fillId="3" borderId="11" xfId="0" applyNumberFormat="1" applyFont="1" applyFill="1" applyBorder="1" applyAlignment="1">
      <alignment horizontal="left" vertical="center"/>
    </xf>
    <xf numFmtId="37" fontId="3" fillId="4" borderId="1" xfId="0" applyNumberFormat="1" applyFont="1" applyFill="1" applyBorder="1" applyAlignment="1">
      <alignment vertical="center"/>
    </xf>
    <xf numFmtId="3" fontId="3" fillId="4" borderId="11" xfId="0" applyNumberFormat="1" applyFont="1" applyFill="1" applyBorder="1" applyAlignment="1">
      <alignment vertical="center"/>
    </xf>
    <xf numFmtId="3" fontId="3" fillId="4" borderId="1" xfId="0" applyNumberFormat="1" applyFont="1" applyFill="1" applyBorder="1" applyAlignment="1">
      <alignment vertical="center"/>
    </xf>
    <xf numFmtId="0" fontId="3" fillId="3" borderId="0" xfId="0" applyFont="1" applyFill="1" applyAlignment="1">
      <alignment horizontal="left" vertical="center"/>
    </xf>
    <xf numFmtId="0" fontId="3" fillId="3" borderId="11" xfId="0" applyFont="1" applyFill="1" applyBorder="1" applyAlignment="1">
      <alignment horizontal="left" vertical="center"/>
    </xf>
    <xf numFmtId="3" fontId="4" fillId="4" borderId="11" xfId="0" applyNumberFormat="1" applyFont="1" applyFill="1" applyBorder="1" applyAlignment="1">
      <alignment vertical="center"/>
    </xf>
    <xf numFmtId="3" fontId="4" fillId="0" borderId="0" xfId="0" applyNumberFormat="1" applyFont="1" applyAlignment="1" applyProtection="1">
      <alignment vertical="center"/>
      <protection locked="0"/>
    </xf>
    <xf numFmtId="0" fontId="4" fillId="2" borderId="11" xfId="0" applyFont="1" applyFill="1" applyBorder="1" applyAlignment="1" applyProtection="1">
      <alignment vertical="center"/>
      <protection locked="0"/>
    </xf>
    <xf numFmtId="0" fontId="4" fillId="3" borderId="11" xfId="0" applyFont="1" applyFill="1" applyBorder="1" applyAlignment="1">
      <alignment vertical="center"/>
    </xf>
    <xf numFmtId="0" fontId="14" fillId="0" borderId="0" xfId="0" applyFont="1" applyAlignment="1">
      <alignment vertical="center"/>
    </xf>
    <xf numFmtId="0" fontId="12" fillId="3" borderId="0" xfId="0" applyFont="1" applyFill="1" applyAlignment="1">
      <alignment horizontal="center" vertical="center"/>
    </xf>
    <xf numFmtId="1" fontId="4" fillId="3" borderId="3" xfId="0" applyNumberFormat="1" applyFont="1" applyFill="1" applyBorder="1" applyAlignment="1">
      <alignment horizontal="center" vertical="center"/>
    </xf>
    <xf numFmtId="0" fontId="4" fillId="6"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6" borderId="0" xfId="0" applyFont="1" applyFill="1" applyAlignment="1" applyProtection="1">
      <alignment horizontal="left" vertical="center"/>
      <protection locked="0"/>
    </xf>
    <xf numFmtId="37" fontId="3" fillId="4" borderId="6" xfId="0" applyNumberFormat="1" applyFont="1" applyFill="1" applyBorder="1" applyAlignment="1">
      <alignment vertical="center"/>
    </xf>
    <xf numFmtId="37" fontId="4" fillId="3" borderId="15" xfId="0" applyNumberFormat="1" applyFont="1" applyFill="1" applyBorder="1" applyAlignment="1">
      <alignment horizontal="left" vertical="center"/>
    </xf>
    <xf numFmtId="3" fontId="4" fillId="3" borderId="1" xfId="0" applyNumberFormat="1" applyFont="1" applyFill="1" applyBorder="1" applyAlignment="1">
      <alignment horizontal="fill" vertical="center"/>
    </xf>
    <xf numFmtId="3" fontId="4" fillId="10" borderId="1" xfId="0" applyNumberFormat="1" applyFont="1" applyFill="1" applyBorder="1" applyAlignment="1">
      <alignment vertical="center"/>
    </xf>
    <xf numFmtId="37" fontId="4" fillId="3" borderId="0" xfId="0" applyNumberFormat="1" applyFont="1" applyFill="1" applyAlignment="1">
      <alignment horizontal="fill" vertical="center"/>
    </xf>
    <xf numFmtId="3" fontId="4" fillId="0" borderId="0" xfId="0" applyNumberFormat="1" applyFont="1" applyAlignment="1" applyProtection="1">
      <alignment horizontal="fill" vertical="center"/>
      <protection locked="0"/>
    </xf>
    <xf numFmtId="0" fontId="4" fillId="6" borderId="11" xfId="0" applyFont="1" applyFill="1" applyBorder="1" applyAlignment="1" applyProtection="1">
      <alignment vertical="center"/>
      <protection locked="0"/>
    </xf>
    <xf numFmtId="3" fontId="4" fillId="3" borderId="1" xfId="0" applyNumberFormat="1"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3" fontId="4" fillId="3" borderId="2" xfId="0" applyNumberFormat="1" applyFont="1" applyFill="1" applyBorder="1" applyAlignment="1">
      <alignment horizontal="fill" vertical="center"/>
    </xf>
    <xf numFmtId="0" fontId="4" fillId="3" borderId="14" xfId="0" applyFont="1" applyFill="1" applyBorder="1" applyAlignment="1">
      <alignment vertical="center"/>
    </xf>
    <xf numFmtId="166" fontId="4" fillId="3" borderId="2" xfId="0" applyNumberFormat="1" applyFont="1" applyFill="1" applyBorder="1" applyAlignment="1">
      <alignment vertical="center"/>
    </xf>
    <xf numFmtId="37" fontId="4" fillId="3" borderId="2" xfId="0" quotePrefix="1" applyNumberFormat="1" applyFont="1" applyFill="1" applyBorder="1" applyAlignment="1">
      <alignment horizontal="right" vertical="center"/>
    </xf>
    <xf numFmtId="37" fontId="4" fillId="2" borderId="11" xfId="0" applyNumberFormat="1" applyFont="1" applyFill="1" applyBorder="1" applyAlignment="1" applyProtection="1">
      <alignment horizontal="left" vertical="center"/>
      <protection locked="0"/>
    </xf>
    <xf numFmtId="37" fontId="14" fillId="9" borderId="1" xfId="0" applyNumberFormat="1" applyFont="1" applyFill="1" applyBorder="1" applyAlignment="1">
      <alignment horizontal="center" vertical="center"/>
    </xf>
    <xf numFmtId="0" fontId="18" fillId="3" borderId="0" xfId="0" applyFont="1" applyFill="1" applyAlignment="1">
      <alignment horizontal="center" vertical="center"/>
    </xf>
    <xf numFmtId="0" fontId="10" fillId="3" borderId="3" xfId="0" applyFont="1" applyFill="1" applyBorder="1" applyAlignment="1">
      <alignment vertical="center"/>
    </xf>
    <xf numFmtId="0" fontId="10" fillId="3" borderId="9" xfId="0" applyFont="1" applyFill="1" applyBorder="1" applyAlignment="1">
      <alignment horizontal="center" vertical="center"/>
    </xf>
    <xf numFmtId="0" fontId="10" fillId="3" borderId="13" xfId="0" applyFont="1" applyFill="1" applyBorder="1" applyAlignment="1">
      <alignment vertical="center"/>
    </xf>
    <xf numFmtId="0" fontId="10" fillId="3" borderId="1" xfId="0" applyFont="1" applyFill="1" applyBorder="1" applyAlignment="1">
      <alignment horizontal="center" vertical="center"/>
    </xf>
    <xf numFmtId="0" fontId="10" fillId="3" borderId="15" xfId="0" applyFont="1" applyFill="1" applyBorder="1" applyAlignment="1">
      <alignment vertical="center"/>
    </xf>
    <xf numFmtId="3" fontId="10" fillId="6" borderId="1" xfId="0" applyNumberFormat="1" applyFont="1" applyFill="1" applyBorder="1" applyAlignment="1" applyProtection="1">
      <alignment horizontal="center" vertical="center"/>
      <protection locked="0"/>
    </xf>
    <xf numFmtId="0" fontId="10" fillId="3" borderId="2" xfId="0" applyFont="1" applyFill="1" applyBorder="1" applyAlignment="1">
      <alignment vertical="center"/>
    </xf>
    <xf numFmtId="3" fontId="10" fillId="4" borderId="1" xfId="0" applyNumberFormat="1" applyFont="1" applyFill="1" applyBorder="1" applyAlignment="1">
      <alignment horizontal="center" vertical="center"/>
    </xf>
    <xf numFmtId="0" fontId="10" fillId="3" borderId="0" xfId="0" applyFont="1" applyFill="1" applyAlignment="1">
      <alignment vertical="center"/>
    </xf>
    <xf numFmtId="3" fontId="10" fillId="3" borderId="0" xfId="0" applyNumberFormat="1" applyFont="1" applyFill="1" applyAlignment="1">
      <alignment horizontal="center" vertical="center"/>
    </xf>
    <xf numFmtId="0" fontId="10" fillId="3" borderId="0" xfId="0" applyFont="1" applyFill="1" applyAlignment="1">
      <alignment horizontal="center" vertical="center"/>
    </xf>
    <xf numFmtId="0" fontId="10" fillId="6" borderId="1" xfId="0" applyFont="1" applyFill="1" applyBorder="1" applyAlignment="1" applyProtection="1">
      <alignment vertical="center"/>
      <protection locked="0"/>
    </xf>
    <xf numFmtId="0" fontId="10" fillId="6" borderId="13" xfId="0" applyFont="1" applyFill="1" applyBorder="1" applyAlignment="1" applyProtection="1">
      <alignment vertical="center"/>
      <protection locked="0"/>
    </xf>
    <xf numFmtId="0" fontId="10" fillId="6" borderId="0" xfId="0" applyFont="1" applyFill="1" applyAlignment="1" applyProtection="1">
      <alignment vertical="center"/>
      <protection locked="0"/>
    </xf>
    <xf numFmtId="0" fontId="10" fillId="6" borderId="9" xfId="0" applyFont="1" applyFill="1" applyBorder="1" applyAlignment="1" applyProtection="1">
      <alignment vertical="center"/>
      <protection locked="0"/>
    </xf>
    <xf numFmtId="0" fontId="10" fillId="6" borderId="5" xfId="0" applyFont="1" applyFill="1" applyBorder="1" applyAlignment="1" applyProtection="1">
      <alignment vertical="center"/>
      <protection locked="0"/>
    </xf>
    <xf numFmtId="0" fontId="10" fillId="6" borderId="12" xfId="0" applyFont="1" applyFill="1" applyBorder="1" applyAlignment="1" applyProtection="1">
      <alignment vertical="center"/>
      <protection locked="0"/>
    </xf>
    <xf numFmtId="3" fontId="16" fillId="9" borderId="1" xfId="0" applyNumberFormat="1" applyFont="1" applyFill="1" applyBorder="1" applyAlignment="1">
      <alignment horizontal="center"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1" xfId="0" applyNumberFormat="1" applyFont="1" applyFill="1" applyBorder="1" applyAlignment="1">
      <alignment horizontal="centerContinuous" vertical="center"/>
    </xf>
    <xf numFmtId="164" fontId="4" fillId="3" borderId="1" xfId="0" applyNumberFormat="1" applyFont="1" applyFill="1" applyBorder="1" applyAlignment="1">
      <alignment vertical="center"/>
    </xf>
    <xf numFmtId="37" fontId="4" fillId="3" borderId="5" xfId="0" applyNumberFormat="1" applyFont="1" applyFill="1" applyBorder="1" applyAlignment="1">
      <alignment horizontal="fill" vertical="center"/>
    </xf>
    <xf numFmtId="1" fontId="5" fillId="3" borderId="0" xfId="0" applyNumberFormat="1" applyFont="1" applyFill="1" applyAlignment="1">
      <alignment horizontal="center" vertical="center"/>
    </xf>
    <xf numFmtId="3" fontId="4" fillId="3" borderId="2"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 xfId="0" applyFont="1" applyFill="1" applyBorder="1" applyAlignment="1">
      <alignment horizontal="center" vertical="center" wrapText="1"/>
    </xf>
    <xf numFmtId="3" fontId="4" fillId="6" borderId="1" xfId="0" applyNumberFormat="1" applyFont="1" applyFill="1" applyBorder="1" applyAlignment="1" applyProtection="1">
      <alignment horizontal="center" vertical="center"/>
      <protection locked="0"/>
    </xf>
    <xf numFmtId="171" fontId="4" fillId="3" borderId="1" xfId="0" applyNumberFormat="1" applyFont="1" applyFill="1" applyBorder="1" applyAlignment="1">
      <alignment horizontal="center" vertical="center"/>
    </xf>
    <xf numFmtId="3" fontId="4" fillId="6" borderId="3" xfId="0" applyNumberFormat="1" applyFont="1" applyFill="1" applyBorder="1" applyAlignment="1" applyProtection="1">
      <alignment horizontal="center" vertical="center"/>
      <protection locked="0"/>
    </xf>
    <xf numFmtId="3" fontId="4" fillId="3" borderId="6" xfId="0" applyNumberFormat="1" applyFont="1" applyFill="1" applyBorder="1" applyAlignment="1">
      <alignment horizontal="center" vertical="center"/>
    </xf>
    <xf numFmtId="171" fontId="4" fillId="3" borderId="6" xfId="0" applyNumberFormat="1" applyFont="1" applyFill="1" applyBorder="1" applyAlignment="1">
      <alignment horizontal="center" vertical="center"/>
    </xf>
    <xf numFmtId="171" fontId="4" fillId="3" borderId="2" xfId="0" applyNumberFormat="1" applyFont="1" applyFill="1" applyBorder="1" applyAlignment="1">
      <alignment horizontal="center" vertical="center"/>
    </xf>
    <xf numFmtId="171" fontId="4" fillId="3" borderId="0" xfId="0" applyNumberFormat="1" applyFont="1" applyFill="1" applyAlignment="1">
      <alignment horizontal="center" vertical="center"/>
    </xf>
    <xf numFmtId="0" fontId="0" fillId="3" borderId="0" xfId="0" applyFill="1" applyAlignment="1">
      <alignment horizontal="center" vertical="center"/>
    </xf>
    <xf numFmtId="170" fontId="4" fillId="3" borderId="0" xfId="0" applyNumberFormat="1" applyFont="1" applyFill="1" applyAlignment="1">
      <alignment vertical="center"/>
    </xf>
    <xf numFmtId="3" fontId="25" fillId="9" borderId="0" xfId="0" applyNumberFormat="1" applyFont="1" applyFill="1" applyAlignment="1">
      <alignment horizontal="center" vertical="center"/>
    </xf>
    <xf numFmtId="37" fontId="3" fillId="12" borderId="1" xfId="0" applyNumberFormat="1" applyFont="1" applyFill="1" applyBorder="1" applyAlignment="1">
      <alignment vertical="center"/>
    </xf>
    <xf numFmtId="37" fontId="4" fillId="12" borderId="1" xfId="0" applyNumberFormat="1" applyFont="1" applyFill="1" applyBorder="1" applyAlignment="1">
      <alignment vertical="center"/>
    </xf>
    <xf numFmtId="0" fontId="27" fillId="0" borderId="0" xfId="474"/>
    <xf numFmtId="0" fontId="4" fillId="0" borderId="0" xfId="474" applyFont="1" applyAlignment="1">
      <alignment horizontal="left" vertical="center"/>
    </xf>
    <xf numFmtId="0" fontId="28" fillId="0" borderId="0" xfId="0" applyFont="1"/>
    <xf numFmtId="0" fontId="40"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14" fontId="4" fillId="2" borderId="1" xfId="0" applyNumberFormat="1" applyFont="1" applyFill="1" applyBorder="1" applyAlignment="1" applyProtection="1">
      <alignment horizontal="center" vertical="center"/>
      <protection locked="0"/>
    </xf>
    <xf numFmtId="3" fontId="10" fillId="4" borderId="5" xfId="0" applyNumberFormat="1" applyFont="1" applyFill="1" applyBorder="1" applyAlignment="1">
      <alignment horizontal="center" vertical="center"/>
    </xf>
    <xf numFmtId="3" fontId="4" fillId="10" borderId="11" xfId="0" applyNumberFormat="1" applyFont="1" applyFill="1" applyBorder="1" applyAlignment="1">
      <alignment vertical="center"/>
    </xf>
    <xf numFmtId="3" fontId="4" fillId="3" borderId="0" xfId="0" applyNumberFormat="1" applyFont="1" applyFill="1" applyAlignment="1">
      <alignment horizontal="fill" vertical="center"/>
    </xf>
    <xf numFmtId="37" fontId="14" fillId="6" borderId="1" xfId="0" applyNumberFormat="1" applyFont="1" applyFill="1" applyBorder="1" applyAlignment="1">
      <alignment horizontal="center" vertical="center"/>
    </xf>
    <xf numFmtId="49" fontId="4" fillId="2" borderId="1" xfId="0" applyNumberFormat="1" applyFont="1" applyFill="1" applyBorder="1" applyAlignment="1" applyProtection="1">
      <alignment horizontal="center" vertical="center"/>
      <protection locked="0"/>
    </xf>
    <xf numFmtId="0" fontId="4" fillId="3" borderId="0" xfId="56" applyFont="1" applyFill="1" applyAlignment="1">
      <alignment horizontal="right" vertical="center"/>
    </xf>
    <xf numFmtId="0" fontId="2" fillId="0" borderId="0" xfId="51"/>
    <xf numFmtId="0" fontId="4" fillId="3" borderId="0" xfId="51" applyFont="1" applyFill="1" applyAlignment="1">
      <alignment vertical="center"/>
    </xf>
    <xf numFmtId="0" fontId="4" fillId="0" borderId="0" xfId="51" applyFont="1" applyAlignment="1" applyProtection="1">
      <alignment vertical="center"/>
      <protection locked="0"/>
    </xf>
    <xf numFmtId="37" fontId="4" fillId="3" borderId="0" xfId="51" applyNumberFormat="1" applyFont="1" applyFill="1" applyAlignment="1">
      <alignment horizontal="left" vertical="center"/>
    </xf>
    <xf numFmtId="0" fontId="3" fillId="3" borderId="0" xfId="51" applyFont="1" applyFill="1" applyAlignment="1">
      <alignment vertical="center"/>
    </xf>
    <xf numFmtId="3" fontId="4" fillId="2" borderId="1" xfId="51" applyNumberFormat="1" applyFont="1" applyFill="1" applyBorder="1" applyAlignment="1" applyProtection="1">
      <alignment vertical="center"/>
      <protection locked="0"/>
    </xf>
    <xf numFmtId="0" fontId="4" fillId="3" borderId="0" xfId="51" applyFont="1" applyFill="1" applyAlignment="1" applyProtection="1">
      <alignment vertical="center"/>
      <protection locked="0"/>
    </xf>
    <xf numFmtId="0" fontId="2" fillId="0" borderId="0" xfId="51" applyAlignment="1">
      <alignment vertical="center"/>
    </xf>
    <xf numFmtId="1" fontId="4" fillId="3" borderId="0" xfId="51" applyNumberFormat="1" applyFont="1" applyFill="1" applyAlignment="1">
      <alignment horizontal="right" vertical="center"/>
    </xf>
    <xf numFmtId="37" fontId="4" fillId="3" borderId="0" xfId="51" quotePrefix="1" applyNumberFormat="1" applyFont="1" applyFill="1" applyAlignment="1">
      <alignment horizontal="right" vertical="center"/>
    </xf>
    <xf numFmtId="37" fontId="4" fillId="3" borderId="11" xfId="51" applyNumberFormat="1" applyFont="1" applyFill="1" applyBorder="1" applyAlignment="1">
      <alignment horizontal="left" vertical="center"/>
    </xf>
    <xf numFmtId="3" fontId="4" fillId="3" borderId="1" xfId="51" applyNumberFormat="1" applyFont="1" applyFill="1" applyBorder="1" applyAlignment="1">
      <alignment vertical="center"/>
    </xf>
    <xf numFmtId="37" fontId="4" fillId="3" borderId="11" xfId="51" applyNumberFormat="1" applyFont="1" applyFill="1" applyBorder="1" applyAlignment="1">
      <alignment vertical="center"/>
    </xf>
    <xf numFmtId="0" fontId="4" fillId="3" borderId="11" xfId="51" applyFont="1" applyFill="1" applyBorder="1" applyAlignment="1">
      <alignment vertical="center"/>
    </xf>
    <xf numFmtId="37" fontId="4" fillId="3" borderId="0" xfId="51" applyNumberFormat="1" applyFont="1" applyFill="1" applyAlignment="1">
      <alignment vertical="center"/>
    </xf>
    <xf numFmtId="0" fontId="4" fillId="3" borderId="0" xfId="51" applyFont="1" applyFill="1" applyAlignment="1">
      <alignment horizontal="right" vertical="center"/>
    </xf>
    <xf numFmtId="37" fontId="4" fillId="3" borderId="0" xfId="51" applyNumberFormat="1" applyFont="1" applyFill="1" applyAlignment="1">
      <alignment horizontal="right" vertical="center"/>
    </xf>
    <xf numFmtId="37" fontId="4" fillId="3" borderId="0" xfId="51" applyNumberFormat="1" applyFont="1" applyFill="1" applyAlignment="1">
      <alignment horizontal="fill" vertical="center"/>
    </xf>
    <xf numFmtId="37" fontId="4" fillId="3" borderId="15" xfId="51" applyNumberFormat="1" applyFont="1" applyFill="1" applyBorder="1" applyAlignment="1">
      <alignment horizontal="left" vertical="center"/>
    </xf>
    <xf numFmtId="37" fontId="3" fillId="3" borderId="11" xfId="51" applyNumberFormat="1" applyFont="1" applyFill="1" applyBorder="1" applyAlignment="1">
      <alignment horizontal="left" vertical="center"/>
    </xf>
    <xf numFmtId="0" fontId="14" fillId="0" borderId="0" xfId="51" applyFont="1" applyAlignment="1">
      <alignment vertical="center"/>
    </xf>
    <xf numFmtId="0" fontId="12" fillId="3" borderId="0" xfId="51" applyFont="1" applyFill="1" applyAlignment="1">
      <alignment horizontal="center" vertical="center"/>
    </xf>
    <xf numFmtId="37" fontId="4" fillId="2" borderId="11" xfId="51" applyNumberFormat="1" applyFont="1" applyFill="1" applyBorder="1" applyAlignment="1" applyProtection="1">
      <alignment horizontal="left" vertical="center"/>
      <protection locked="0"/>
    </xf>
    <xf numFmtId="0" fontId="4" fillId="3" borderId="11" xfId="51" applyFont="1" applyFill="1" applyBorder="1" applyAlignment="1" applyProtection="1">
      <alignment vertical="center"/>
      <protection locked="0"/>
    </xf>
    <xf numFmtId="3" fontId="4" fillId="3" borderId="1" xfId="51" applyNumberFormat="1" applyFont="1" applyFill="1" applyBorder="1" applyAlignment="1">
      <alignment horizontal="fill" vertical="center"/>
    </xf>
    <xf numFmtId="0" fontId="4" fillId="2" borderId="11" xfId="51" applyFont="1" applyFill="1" applyBorder="1" applyAlignment="1" applyProtection="1">
      <alignment horizontal="left" vertical="center"/>
      <protection locked="0"/>
    </xf>
    <xf numFmtId="3" fontId="3" fillId="3" borderId="1" xfId="51" applyNumberFormat="1" applyFont="1" applyFill="1" applyBorder="1" applyAlignment="1">
      <alignment vertical="center"/>
    </xf>
    <xf numFmtId="37" fontId="4" fillId="6" borderId="11" xfId="51" applyNumberFormat="1" applyFont="1" applyFill="1" applyBorder="1" applyAlignment="1" applyProtection="1">
      <alignment horizontal="right" vertical="center"/>
      <protection locked="0"/>
    </xf>
    <xf numFmtId="3" fontId="4" fillId="3" borderId="11" xfId="51" applyNumberFormat="1" applyFont="1" applyFill="1" applyBorder="1" applyAlignment="1">
      <alignment vertical="center"/>
    </xf>
    <xf numFmtId="37" fontId="4" fillId="6" borderId="11" xfId="51" applyNumberFormat="1" applyFont="1" applyFill="1" applyBorder="1" applyAlignment="1" applyProtection="1">
      <alignment vertical="center"/>
      <protection locked="0"/>
    </xf>
    <xf numFmtId="3" fontId="4" fillId="2" borderId="11" xfId="51" applyNumberFormat="1" applyFont="1" applyFill="1" applyBorder="1" applyAlignment="1" applyProtection="1">
      <alignment vertical="center"/>
      <protection locked="0"/>
    </xf>
    <xf numFmtId="3" fontId="3" fillId="3" borderId="11" xfId="51" applyNumberFormat="1" applyFont="1" applyFill="1" applyBorder="1" applyAlignment="1">
      <alignment vertical="center"/>
    </xf>
    <xf numFmtId="37" fontId="3" fillId="3" borderId="2" xfId="51" applyNumberFormat="1" applyFont="1" applyFill="1" applyBorder="1" applyAlignment="1">
      <alignment vertical="center"/>
    </xf>
    <xf numFmtId="37" fontId="3" fillId="3" borderId="0" xfId="51" applyNumberFormat="1" applyFont="1" applyFill="1" applyAlignment="1">
      <alignment vertical="center"/>
    </xf>
    <xf numFmtId="0" fontId="7" fillId="7" borderId="1" xfId="0" applyFont="1" applyFill="1" applyBorder="1" applyAlignment="1">
      <alignment vertical="center" shrinkToFit="1"/>
    </xf>
    <xf numFmtId="37" fontId="4" fillId="3" borderId="4" xfId="51" applyNumberFormat="1" applyFont="1" applyFill="1" applyBorder="1" applyAlignment="1">
      <alignment horizontal="center" vertical="center"/>
    </xf>
    <xf numFmtId="37" fontId="4" fillId="3" borderId="5" xfId="51" applyNumberFormat="1" applyFont="1" applyFill="1" applyBorder="1" applyAlignment="1">
      <alignment horizontal="center" vertical="center"/>
    </xf>
    <xf numFmtId="0" fontId="30" fillId="0" borderId="0" xfId="0" applyFont="1" applyAlignment="1">
      <alignment vertical="center"/>
    </xf>
    <xf numFmtId="0" fontId="4" fillId="0" borderId="0" xfId="0" applyFont="1" applyAlignment="1">
      <alignment wrapText="1"/>
    </xf>
    <xf numFmtId="3" fontId="4" fillId="3" borderId="5" xfId="0" applyNumberFormat="1" applyFont="1" applyFill="1" applyBorder="1" applyAlignment="1">
      <alignment horizontal="center" vertical="center"/>
    </xf>
    <xf numFmtId="3" fontId="4" fillId="3" borderId="3" xfId="0" applyNumberFormat="1" applyFont="1" applyFill="1" applyBorder="1" applyAlignment="1">
      <alignment horizontal="center" vertical="center"/>
    </xf>
    <xf numFmtId="3" fontId="4" fillId="6" borderId="11" xfId="51" applyNumberFormat="1" applyFont="1" applyFill="1" applyBorder="1" applyAlignment="1" applyProtection="1">
      <alignment horizontal="right" vertical="center"/>
      <protection locked="0"/>
    </xf>
    <xf numFmtId="0" fontId="4" fillId="0" borderId="0" xfId="56" applyFont="1" applyAlignment="1">
      <alignment vertical="center" wrapText="1"/>
    </xf>
    <xf numFmtId="0" fontId="19" fillId="0" borderId="0" xfId="0" applyFont="1"/>
    <xf numFmtId="0" fontId="20" fillId="0" borderId="0" xfId="0" applyFont="1" applyAlignment="1">
      <alignment horizontal="center"/>
    </xf>
    <xf numFmtId="0" fontId="3" fillId="0" borderId="0" xfId="0" applyFont="1" applyAlignment="1">
      <alignment wrapText="1"/>
    </xf>
    <xf numFmtId="0" fontId="20" fillId="0" borderId="0" xfId="0" applyFont="1" applyAlignment="1">
      <alignment horizontal="center" vertical="center"/>
    </xf>
    <xf numFmtId="0" fontId="3" fillId="0" borderId="0" xfId="0" applyFont="1" applyAlignment="1">
      <alignment vertical="center" wrapText="1"/>
    </xf>
    <xf numFmtId="0" fontId="19" fillId="0" borderId="0" xfId="0" applyFont="1" applyAlignment="1">
      <alignment vertical="center"/>
    </xf>
    <xf numFmtId="0" fontId="22" fillId="0" borderId="0" xfId="0" applyFont="1" applyAlignment="1">
      <alignment vertical="center" wrapText="1"/>
    </xf>
    <xf numFmtId="0" fontId="6" fillId="0" borderId="0" xfId="0" applyFont="1" applyAlignment="1">
      <alignment vertical="center"/>
    </xf>
    <xf numFmtId="0" fontId="21" fillId="0" borderId="0" xfId="0" applyFont="1" applyAlignment="1">
      <alignment vertical="center" wrapText="1"/>
    </xf>
    <xf numFmtId="0" fontId="23" fillId="0" borderId="0" xfId="0" applyFont="1" applyAlignment="1">
      <alignment vertical="center"/>
    </xf>
    <xf numFmtId="0" fontId="41" fillId="0" borderId="0" xfId="0" applyFont="1" applyAlignment="1">
      <alignment wrapText="1"/>
    </xf>
    <xf numFmtId="0" fontId="22" fillId="0" borderId="0" xfId="0" applyFont="1" applyAlignment="1">
      <alignment wrapText="1"/>
    </xf>
    <xf numFmtId="171" fontId="4" fillId="14" borderId="12" xfId="51" applyNumberFormat="1" applyFont="1" applyFill="1" applyBorder="1" applyAlignment="1" applyProtection="1">
      <alignment horizontal="center"/>
      <protection locked="0"/>
    </xf>
    <xf numFmtId="0" fontId="33" fillId="13" borderId="16" xfId="51" applyFont="1" applyFill="1" applyBorder="1"/>
    <xf numFmtId="0" fontId="4" fillId="13" borderId="0" xfId="51" applyFont="1" applyFill="1"/>
    <xf numFmtId="172" fontId="4" fillId="13" borderId="12" xfId="51" applyNumberFormat="1" applyFont="1" applyFill="1" applyBorder="1" applyAlignment="1">
      <alignment horizontal="center"/>
    </xf>
    <xf numFmtId="0" fontId="4" fillId="13" borderId="15" xfId="51" applyFont="1" applyFill="1" applyBorder="1"/>
    <xf numFmtId="0" fontId="4" fillId="13" borderId="2" xfId="51" applyFont="1" applyFill="1" applyBorder="1"/>
    <xf numFmtId="172" fontId="4" fillId="16" borderId="7" xfId="51" applyNumberFormat="1" applyFont="1" applyFill="1" applyBorder="1" applyAlignment="1">
      <alignment horizontal="center"/>
    </xf>
    <xf numFmtId="0" fontId="4" fillId="0" borderId="0" xfId="51" applyFont="1"/>
    <xf numFmtId="0" fontId="4" fillId="13" borderId="16" xfId="51" applyFont="1" applyFill="1" applyBorder="1"/>
    <xf numFmtId="0" fontId="4" fillId="13" borderId="12" xfId="51" applyFont="1" applyFill="1" applyBorder="1"/>
    <xf numFmtId="170" fontId="4" fillId="13" borderId="12" xfId="51" applyNumberFormat="1" applyFont="1" applyFill="1" applyBorder="1" applyAlignment="1">
      <alignment horizontal="center"/>
    </xf>
    <xf numFmtId="0" fontId="4" fillId="16" borderId="16" xfId="51" applyFont="1" applyFill="1" applyBorder="1"/>
    <xf numFmtId="0" fontId="4" fillId="16" borderId="0" xfId="51" applyFont="1" applyFill="1"/>
    <xf numFmtId="0" fontId="4" fillId="16" borderId="15" xfId="51" applyFont="1" applyFill="1" applyBorder="1"/>
    <xf numFmtId="0" fontId="4" fillId="16" borderId="2" xfId="51" applyFont="1" applyFill="1" applyBorder="1"/>
    <xf numFmtId="172" fontId="4" fillId="13" borderId="7" xfId="51" applyNumberFormat="1" applyFont="1" applyFill="1" applyBorder="1" applyAlignment="1">
      <alignment horizontal="center"/>
    </xf>
    <xf numFmtId="0" fontId="42" fillId="0" borderId="0" xfId="0" applyFont="1" applyAlignment="1">
      <alignment vertical="center"/>
    </xf>
    <xf numFmtId="0" fontId="43" fillId="0" borderId="0" xfId="0" applyFont="1" applyAlignment="1" applyProtection="1">
      <alignment horizontal="center" vertical="center"/>
      <protection locked="0"/>
    </xf>
    <xf numFmtId="0" fontId="44" fillId="3" borderId="0" xfId="0" applyFont="1" applyFill="1" applyAlignment="1">
      <alignment horizontal="center" vertical="center"/>
    </xf>
    <xf numFmtId="37" fontId="4" fillId="3" borderId="17" xfId="0" applyNumberFormat="1" applyFont="1" applyFill="1" applyBorder="1" applyAlignment="1">
      <alignment vertical="center"/>
    </xf>
    <xf numFmtId="0" fontId="4" fillId="3" borderId="17" xfId="0" applyFont="1" applyFill="1" applyBorder="1" applyAlignment="1">
      <alignment vertical="center"/>
    </xf>
    <xf numFmtId="37" fontId="3" fillId="3" borderId="0" xfId="0" applyNumberFormat="1" applyFont="1" applyFill="1" applyAlignment="1">
      <alignment vertical="center"/>
    </xf>
    <xf numFmtId="0" fontId="4" fillId="2" borderId="11" xfId="35" applyFont="1" applyFill="1" applyBorder="1" applyAlignment="1" applyProtection="1">
      <alignment horizontal="left" vertical="center"/>
      <protection locked="0"/>
    </xf>
    <xf numFmtId="0" fontId="4" fillId="2" borderId="11" xfId="56" applyFont="1" applyFill="1" applyBorder="1" applyAlignment="1" applyProtection="1">
      <alignment horizontal="left" vertical="center"/>
      <protection locked="0"/>
    </xf>
    <xf numFmtId="0" fontId="4" fillId="13" borderId="0" xfId="51" applyFont="1" applyFill="1" applyAlignment="1" applyProtection="1">
      <alignment vertical="center"/>
      <protection locked="0"/>
    </xf>
    <xf numFmtId="0" fontId="4" fillId="13" borderId="0" xfId="51" applyFont="1" applyFill="1" applyAlignment="1">
      <alignment vertical="center"/>
    </xf>
    <xf numFmtId="0" fontId="33" fillId="13" borderId="0" xfId="51" applyFont="1" applyFill="1" applyAlignment="1" applyProtection="1">
      <alignment vertical="center"/>
      <protection locked="0"/>
    </xf>
    <xf numFmtId="172" fontId="33" fillId="14" borderId="1" xfId="51" applyNumberFormat="1" applyFont="1" applyFill="1" applyBorder="1" applyAlignment="1" applyProtection="1">
      <alignment horizontal="center" vertical="center"/>
      <protection locked="0"/>
    </xf>
    <xf numFmtId="0" fontId="4" fillId="13" borderId="16" xfId="51" applyFont="1" applyFill="1" applyBorder="1" applyAlignment="1">
      <alignment vertical="center"/>
    </xf>
    <xf numFmtId="0" fontId="4" fillId="13" borderId="12" xfId="51" applyFont="1" applyFill="1" applyBorder="1" applyAlignment="1">
      <alignment vertical="center"/>
    </xf>
    <xf numFmtId="0" fontId="33" fillId="13" borderId="12" xfId="51" applyFont="1" applyFill="1" applyBorder="1" applyAlignment="1">
      <alignment vertical="center"/>
    </xf>
    <xf numFmtId="0" fontId="33" fillId="13" borderId="0" xfId="51" applyFont="1" applyFill="1" applyAlignment="1">
      <alignment vertical="center"/>
    </xf>
    <xf numFmtId="172" fontId="33" fillId="13" borderId="15" xfId="51" applyNumberFormat="1" applyFont="1" applyFill="1" applyBorder="1" applyAlignment="1">
      <alignment horizontal="center" vertical="center"/>
    </xf>
    <xf numFmtId="172" fontId="33" fillId="13" borderId="16" xfId="51" applyNumberFormat="1" applyFont="1" applyFill="1" applyBorder="1" applyAlignment="1">
      <alignment vertical="center"/>
    </xf>
    <xf numFmtId="0" fontId="35" fillId="16" borderId="2" xfId="51" applyFont="1" applyFill="1" applyBorder="1" applyAlignment="1">
      <alignment vertical="center"/>
    </xf>
    <xf numFmtId="0" fontId="33" fillId="16" borderId="7" xfId="51" applyFont="1" applyFill="1" applyBorder="1" applyAlignment="1">
      <alignment vertical="center"/>
    </xf>
    <xf numFmtId="0" fontId="4" fillId="16" borderId="7" xfId="51" applyFont="1" applyFill="1" applyBorder="1" applyAlignment="1">
      <alignment vertical="center"/>
    </xf>
    <xf numFmtId="0" fontId="33" fillId="13" borderId="16" xfId="51" applyFont="1" applyFill="1" applyBorder="1" applyAlignment="1">
      <alignment horizontal="left" vertical="center"/>
    </xf>
    <xf numFmtId="172" fontId="35" fillId="16" borderId="15" xfId="51" applyNumberFormat="1" applyFont="1" applyFill="1" applyBorder="1" applyAlignment="1">
      <alignment horizontal="center" vertical="center"/>
    </xf>
    <xf numFmtId="172" fontId="35" fillId="16" borderId="7" xfId="51" applyNumberFormat="1" applyFont="1" applyFill="1" applyBorder="1" applyAlignment="1" applyProtection="1">
      <alignment horizontal="center" vertical="center"/>
      <protection locked="0"/>
    </xf>
    <xf numFmtId="171" fontId="33" fillId="13" borderId="9" xfId="51" applyNumberFormat="1" applyFont="1" applyFill="1" applyBorder="1" applyAlignment="1" applyProtection="1">
      <alignment horizontal="center" vertical="center"/>
      <protection locked="0"/>
    </xf>
    <xf numFmtId="0" fontId="33" fillId="13" borderId="16" xfId="51" applyFont="1" applyFill="1" applyBorder="1" applyAlignment="1">
      <alignment vertical="center"/>
    </xf>
    <xf numFmtId="37" fontId="4" fillId="0" borderId="0" xfId="0" applyNumberFormat="1" applyFont="1" applyAlignment="1">
      <alignment horizontal="center" vertical="center"/>
    </xf>
    <xf numFmtId="3" fontId="4" fillId="3" borderId="0" xfId="0" applyNumberFormat="1" applyFont="1" applyFill="1" applyAlignment="1">
      <alignment horizontal="center" vertical="center"/>
    </xf>
    <xf numFmtId="3" fontId="4" fillId="0" borderId="0" xfId="0" applyNumberFormat="1" applyFont="1" applyAlignment="1">
      <alignment horizontal="center" vertical="center"/>
    </xf>
    <xf numFmtId="170" fontId="4" fillId="3" borderId="0" xfId="0" applyNumberFormat="1" applyFont="1" applyFill="1" applyAlignment="1">
      <alignment horizontal="center" vertical="center"/>
    </xf>
    <xf numFmtId="3" fontId="4" fillId="12" borderId="6" xfId="0" applyNumberFormat="1" applyFont="1" applyFill="1" applyBorder="1" applyAlignment="1">
      <alignment horizontal="center" vertical="center"/>
    </xf>
    <xf numFmtId="37" fontId="6" fillId="3" borderId="3" xfId="0" applyNumberFormat="1" applyFont="1" applyFill="1" applyBorder="1" applyAlignment="1">
      <alignment horizontal="center" vertical="center"/>
    </xf>
    <xf numFmtId="1" fontId="6" fillId="3" borderId="3" xfId="0" applyNumberFormat="1" applyFont="1" applyFill="1" applyBorder="1" applyAlignment="1">
      <alignment horizontal="center" vertical="center"/>
    </xf>
    <xf numFmtId="0" fontId="3" fillId="3" borderId="2" xfId="0" applyFont="1" applyFill="1" applyBorder="1" applyAlignment="1">
      <alignment vertical="center"/>
    </xf>
    <xf numFmtId="172" fontId="4" fillId="16" borderId="12" xfId="51" applyNumberFormat="1" applyFont="1" applyFill="1" applyBorder="1" applyAlignment="1">
      <alignment horizontal="center"/>
    </xf>
    <xf numFmtId="0" fontId="4" fillId="16" borderId="15" xfId="0" applyFont="1" applyFill="1" applyBorder="1" applyAlignment="1">
      <alignment vertical="center"/>
    </xf>
    <xf numFmtId="0" fontId="4" fillId="16" borderId="2" xfId="0" applyFont="1" applyFill="1" applyBorder="1" applyAlignment="1">
      <alignment vertical="center"/>
    </xf>
    <xf numFmtId="172" fontId="4" fillId="16" borderId="7" xfId="0" applyNumberFormat="1" applyFont="1" applyFill="1" applyBorder="1" applyAlignment="1">
      <alignment horizontal="center" vertical="center"/>
    </xf>
    <xf numFmtId="0" fontId="4" fillId="3" borderId="0" xfId="13" applyNumberFormat="1" applyFont="1" applyFill="1" applyBorder="1" applyAlignment="1" applyProtection="1">
      <alignment horizontal="right" vertical="center"/>
    </xf>
    <xf numFmtId="0" fontId="4" fillId="3" borderId="4" xfId="0" applyFont="1" applyFill="1" applyBorder="1"/>
    <xf numFmtId="10" fontId="4" fillId="2" borderId="1" xfId="0" applyNumberFormat="1" applyFont="1" applyFill="1" applyBorder="1" applyAlignment="1" applyProtection="1">
      <alignment vertical="center"/>
      <protection locked="0"/>
    </xf>
    <xf numFmtId="170" fontId="4" fillId="3" borderId="9" xfId="0" applyNumberFormat="1" applyFont="1" applyFill="1" applyBorder="1" applyAlignment="1">
      <alignment vertical="center"/>
    </xf>
    <xf numFmtId="49" fontId="4" fillId="3" borderId="0" xfId="0" applyNumberFormat="1" applyFont="1" applyFill="1" applyAlignment="1">
      <alignment horizontal="left" vertical="center"/>
    </xf>
    <xf numFmtId="0" fontId="35" fillId="16" borderId="16" xfId="51" applyFont="1" applyFill="1" applyBorder="1" applyAlignment="1" applyProtection="1">
      <alignment vertical="center"/>
      <protection locked="0"/>
    </xf>
    <xf numFmtId="0" fontId="4" fillId="16" borderId="0" xfId="51" applyFont="1" applyFill="1" applyAlignment="1" applyProtection="1">
      <alignment vertical="center"/>
      <protection locked="0"/>
    </xf>
    <xf numFmtId="0" fontId="33" fillId="16" borderId="0" xfId="51" applyFont="1" applyFill="1" applyAlignment="1" applyProtection="1">
      <alignment vertical="center"/>
      <protection locked="0"/>
    </xf>
    <xf numFmtId="0" fontId="33" fillId="13" borderId="15" xfId="0" applyFont="1" applyFill="1" applyBorder="1" applyAlignment="1" applyProtection="1">
      <alignment vertical="center"/>
      <protection locked="0"/>
    </xf>
    <xf numFmtId="0" fontId="33" fillId="13" borderId="2" xfId="0" applyFont="1" applyFill="1" applyBorder="1" applyAlignment="1" applyProtection="1">
      <alignment vertical="center"/>
      <protection locked="0"/>
    </xf>
    <xf numFmtId="0" fontId="4" fillId="13" borderId="2" xfId="0" applyFont="1" applyFill="1" applyBorder="1" applyAlignment="1" applyProtection="1">
      <alignment vertical="center"/>
      <protection locked="0"/>
    </xf>
    <xf numFmtId="0" fontId="33" fillId="13" borderId="0" xfId="0" applyFont="1" applyFill="1" applyAlignment="1">
      <alignment horizontal="left" vertical="center"/>
    </xf>
    <xf numFmtId="0" fontId="42" fillId="0" borderId="0" xfId="0" applyFont="1" applyProtection="1">
      <protection locked="0"/>
    </xf>
    <xf numFmtId="0" fontId="4" fillId="13" borderId="12" xfId="0" applyFont="1" applyFill="1" applyBorder="1" applyAlignment="1" applyProtection="1">
      <alignment vertical="center"/>
      <protection locked="0"/>
    </xf>
    <xf numFmtId="3" fontId="4" fillId="9" borderId="6" xfId="51" applyNumberFormat="1" applyFont="1" applyFill="1" applyBorder="1" applyAlignment="1">
      <alignment vertical="center"/>
    </xf>
    <xf numFmtId="3" fontId="4" fillId="10" borderId="6" xfId="0" applyNumberFormat="1" applyFont="1" applyFill="1" applyBorder="1" applyAlignment="1">
      <alignment vertical="center"/>
    </xf>
    <xf numFmtId="3" fontId="4" fillId="9" borderId="6" xfId="0" applyNumberFormat="1" applyFont="1" applyFill="1" applyBorder="1" applyAlignment="1">
      <alignment vertical="center"/>
    </xf>
    <xf numFmtId="0" fontId="33" fillId="13" borderId="16" xfId="0" applyFont="1" applyFill="1" applyBorder="1" applyAlignment="1">
      <alignment vertical="center"/>
    </xf>
    <xf numFmtId="0" fontId="4" fillId="13" borderId="0" xfId="0" applyFont="1" applyFill="1" applyAlignment="1">
      <alignment vertical="center"/>
    </xf>
    <xf numFmtId="0" fontId="33" fillId="13" borderId="0" xfId="0" applyFont="1" applyFill="1" applyAlignment="1">
      <alignment vertical="center"/>
    </xf>
    <xf numFmtId="172" fontId="33" fillId="13" borderId="12" xfId="0" applyNumberFormat="1" applyFont="1" applyFill="1" applyBorder="1" applyAlignment="1">
      <alignment horizontal="center" vertical="center"/>
    </xf>
    <xf numFmtId="0" fontId="33" fillId="13" borderId="16" xfId="0" applyFont="1" applyFill="1" applyBorder="1" applyAlignment="1">
      <alignment horizontal="left" vertical="center"/>
    </xf>
    <xf numFmtId="172" fontId="33" fillId="14" borderId="1" xfId="0" applyNumberFormat="1" applyFont="1" applyFill="1" applyBorder="1" applyAlignment="1" applyProtection="1">
      <alignment horizontal="center" vertical="center"/>
      <protection locked="0"/>
    </xf>
    <xf numFmtId="171" fontId="35" fillId="13" borderId="9" xfId="0" applyNumberFormat="1" applyFont="1" applyFill="1" applyBorder="1" applyAlignment="1">
      <alignment horizontal="center" vertical="center"/>
    </xf>
    <xf numFmtId="0" fontId="35" fillId="16" borderId="16" xfId="0" applyFont="1" applyFill="1" applyBorder="1" applyAlignment="1">
      <alignment vertical="center"/>
    </xf>
    <xf numFmtId="0" fontId="4" fillId="16" borderId="0" xfId="0" applyFont="1" applyFill="1" applyAlignment="1">
      <alignment vertical="center"/>
    </xf>
    <xf numFmtId="0" fontId="33" fillId="16" borderId="0" xfId="0" applyFont="1" applyFill="1" applyAlignment="1">
      <alignment vertical="center"/>
    </xf>
    <xf numFmtId="172" fontId="35" fillId="16" borderId="9" xfId="0" applyNumberFormat="1" applyFont="1" applyFill="1" applyBorder="1" applyAlignment="1">
      <alignment horizontal="center" vertical="center"/>
    </xf>
    <xf numFmtId="37" fontId="33" fillId="3" borderId="15" xfId="0" applyNumberFormat="1" applyFont="1" applyFill="1" applyBorder="1" applyAlignment="1">
      <alignment horizontal="left" vertical="center"/>
    </xf>
    <xf numFmtId="0" fontId="37" fillId="13" borderId="2" xfId="0" applyFont="1" applyFill="1" applyBorder="1" applyAlignment="1">
      <alignment horizontal="left" vertical="center"/>
    </xf>
    <xf numFmtId="172" fontId="35" fillId="16" borderId="7" xfId="0" applyNumberFormat="1" applyFont="1" applyFill="1" applyBorder="1" applyAlignment="1" applyProtection="1">
      <alignment horizontal="center" vertical="center"/>
      <protection locked="0"/>
    </xf>
    <xf numFmtId="0" fontId="4" fillId="13" borderId="16" xfId="0" applyFont="1" applyFill="1" applyBorder="1" applyAlignment="1">
      <alignment vertical="center"/>
    </xf>
    <xf numFmtId="0" fontId="4" fillId="13" borderId="12" xfId="0" applyFont="1" applyFill="1" applyBorder="1" applyProtection="1">
      <protection locked="0"/>
    </xf>
    <xf numFmtId="172" fontId="33" fillId="13" borderId="16" xfId="0" applyNumberFormat="1" applyFont="1" applyFill="1" applyBorder="1" applyAlignment="1">
      <alignment horizontal="center" vertical="center"/>
    </xf>
    <xf numFmtId="0" fontId="33" fillId="13" borderId="12" xfId="0" applyFont="1" applyFill="1" applyBorder="1" applyAlignment="1">
      <alignment vertical="center"/>
    </xf>
    <xf numFmtId="172" fontId="33" fillId="13" borderId="15" xfId="0" applyNumberFormat="1" applyFont="1" applyFill="1" applyBorder="1" applyAlignment="1">
      <alignment horizontal="center" vertical="center"/>
    </xf>
    <xf numFmtId="0" fontId="36" fillId="0" borderId="0" xfId="0" applyFont="1" applyAlignment="1">
      <alignment horizontal="right" vertical="center"/>
    </xf>
    <xf numFmtId="172" fontId="10" fillId="13" borderId="16" xfId="0" applyNumberFormat="1" applyFont="1" applyFill="1" applyBorder="1" applyAlignment="1">
      <alignment horizontal="center" vertical="center"/>
    </xf>
    <xf numFmtId="0" fontId="4" fillId="13" borderId="12" xfId="0" applyFont="1" applyFill="1" applyBorder="1" applyAlignment="1">
      <alignment vertical="center"/>
    </xf>
    <xf numFmtId="172" fontId="10" fillId="13" borderId="16" xfId="0" applyNumberFormat="1" applyFont="1" applyFill="1" applyBorder="1" applyAlignment="1">
      <alignment vertical="center"/>
    </xf>
    <xf numFmtId="0" fontId="10" fillId="13" borderId="0" xfId="0" applyFont="1" applyFill="1" applyAlignment="1">
      <alignment vertical="center"/>
    </xf>
    <xf numFmtId="172" fontId="10" fillId="13" borderId="15" xfId="0" applyNumberFormat="1" applyFont="1" applyFill="1" applyBorder="1" applyAlignment="1">
      <alignment horizontal="center" vertical="center"/>
    </xf>
    <xf numFmtId="172" fontId="10" fillId="16" borderId="15" xfId="0" applyNumberFormat="1" applyFont="1" applyFill="1" applyBorder="1" applyAlignment="1">
      <alignment horizontal="center" vertical="center"/>
    </xf>
    <xf numFmtId="0" fontId="10" fillId="16" borderId="2" xfId="0" applyFont="1" applyFill="1" applyBorder="1" applyAlignment="1">
      <alignment vertical="center"/>
    </xf>
    <xf numFmtId="0" fontId="4" fillId="16" borderId="7" xfId="0" applyFont="1" applyFill="1" applyBorder="1" applyAlignment="1">
      <alignment vertical="center"/>
    </xf>
    <xf numFmtId="0" fontId="4" fillId="16" borderId="7" xfId="0" applyFont="1" applyFill="1" applyBorder="1" applyProtection="1">
      <protection locked="0"/>
    </xf>
    <xf numFmtId="0" fontId="42" fillId="0" borderId="0" xfId="0" applyFont="1"/>
    <xf numFmtId="0" fontId="4" fillId="13" borderId="0" xfId="35" applyFont="1" applyFill="1"/>
    <xf numFmtId="0" fontId="2" fillId="0" borderId="0" xfId="35"/>
    <xf numFmtId="0" fontId="4" fillId="13" borderId="0" xfId="35" applyFont="1" applyFill="1" applyAlignment="1">
      <alignment vertical="center"/>
    </xf>
    <xf numFmtId="37" fontId="4" fillId="13" borderId="0" xfId="35" applyNumberFormat="1" applyFont="1" applyFill="1" applyAlignment="1">
      <alignment vertical="center"/>
    </xf>
    <xf numFmtId="0" fontId="4" fillId="13" borderId="2" xfId="35" applyFont="1" applyFill="1" applyBorder="1" applyAlignment="1">
      <alignment vertical="center"/>
    </xf>
    <xf numFmtId="0" fontId="4" fillId="13" borderId="0" xfId="35" applyFont="1" applyFill="1" applyAlignment="1">
      <alignment horizontal="center" vertical="center"/>
    </xf>
    <xf numFmtId="0" fontId="5" fillId="13" borderId="0" xfId="35" applyFont="1" applyFill="1" applyAlignment="1">
      <alignment horizontal="center" vertical="center"/>
    </xf>
    <xf numFmtId="172" fontId="4" fillId="13" borderId="0" xfId="35" applyNumberFormat="1" applyFont="1" applyFill="1" applyAlignment="1">
      <alignment vertical="center"/>
    </xf>
    <xf numFmtId="172" fontId="4" fillId="13" borderId="10" xfId="35" applyNumberFormat="1" applyFont="1" applyFill="1" applyBorder="1" applyAlignment="1">
      <alignment vertical="center"/>
    </xf>
    <xf numFmtId="0" fontId="43" fillId="16" borderId="0" xfId="35" applyFont="1" applyFill="1" applyAlignment="1">
      <alignment vertical="center"/>
    </xf>
    <xf numFmtId="0" fontId="43" fillId="13" borderId="0" xfId="35" applyFont="1" applyFill="1" applyAlignment="1">
      <alignment horizontal="center" vertical="center"/>
    </xf>
    <xf numFmtId="171" fontId="4" fillId="13" borderId="0" xfId="35" applyNumberFormat="1" applyFont="1" applyFill="1" applyAlignment="1">
      <alignment horizontal="center" vertical="center"/>
    </xf>
    <xf numFmtId="176" fontId="43" fillId="13" borderId="0" xfId="35" applyNumberFormat="1" applyFont="1" applyFill="1" applyAlignment="1">
      <alignment horizontal="center" vertical="center"/>
    </xf>
    <xf numFmtId="0" fontId="43" fillId="16" borderId="0" xfId="35" applyFont="1" applyFill="1" applyAlignment="1">
      <alignment horizontal="center" vertical="center"/>
    </xf>
    <xf numFmtId="0" fontId="45" fillId="16" borderId="0" xfId="35" applyFont="1" applyFill="1" applyAlignment="1">
      <alignment horizontal="center" vertical="center"/>
    </xf>
    <xf numFmtId="0" fontId="4" fillId="13" borderId="0" xfId="35" applyFont="1" applyFill="1" applyAlignment="1">
      <alignment horizontal="right" vertical="center"/>
    </xf>
    <xf numFmtId="0" fontId="4" fillId="13" borderId="0" xfId="35" applyFont="1" applyFill="1" applyAlignment="1">
      <alignment horizontal="left" vertical="center"/>
    </xf>
    <xf numFmtId="0" fontId="4" fillId="13" borderId="0" xfId="29" applyFont="1" applyFill="1"/>
    <xf numFmtId="0" fontId="2" fillId="13" borderId="0" xfId="35" applyFill="1"/>
    <xf numFmtId="0" fontId="3" fillId="13" borderId="0" xfId="29" applyFont="1" applyFill="1"/>
    <xf numFmtId="0" fontId="2" fillId="13" borderId="0" xfId="29" applyFill="1"/>
    <xf numFmtId="0" fontId="9" fillId="0" borderId="0" xfId="13" applyAlignment="1" applyProtection="1"/>
    <xf numFmtId="172" fontId="33" fillId="13" borderId="16" xfId="0" applyNumberFormat="1" applyFont="1" applyFill="1" applyBorder="1" applyAlignment="1">
      <alignment vertical="center"/>
    </xf>
    <xf numFmtId="172" fontId="33" fillId="16" borderId="15" xfId="0" applyNumberFormat="1" applyFont="1" applyFill="1" applyBorder="1" applyAlignment="1">
      <alignment horizontal="center" vertical="center"/>
    </xf>
    <xf numFmtId="0" fontId="33" fillId="16" borderId="2" xfId="0" applyFont="1" applyFill="1" applyBorder="1" applyAlignment="1">
      <alignment vertical="center"/>
    </xf>
    <xf numFmtId="0" fontId="33" fillId="16" borderId="7" xfId="0" applyFont="1" applyFill="1" applyBorder="1" applyAlignment="1">
      <alignment vertical="center"/>
    </xf>
    <xf numFmtId="37" fontId="4" fillId="3" borderId="0" xfId="0" applyNumberFormat="1" applyFont="1" applyFill="1" applyAlignment="1">
      <alignment horizontal="center" vertical="center"/>
    </xf>
    <xf numFmtId="0" fontId="3" fillId="3" borderId="0" xfId="0" applyFont="1" applyFill="1" applyAlignment="1">
      <alignment horizontal="right"/>
    </xf>
    <xf numFmtId="6" fontId="4" fillId="13" borderId="0" xfId="35" applyNumberFormat="1" applyFont="1" applyFill="1" applyAlignment="1">
      <alignment horizontal="center" vertical="center"/>
    </xf>
    <xf numFmtId="1" fontId="4" fillId="3" borderId="14" xfId="0" applyNumberFormat="1" applyFont="1" applyFill="1" applyBorder="1" applyAlignment="1">
      <alignment horizontal="center" vertical="center"/>
    </xf>
    <xf numFmtId="37" fontId="4" fillId="3" borderId="14" xfId="0" applyNumberFormat="1" applyFont="1" applyFill="1" applyBorder="1" applyAlignment="1">
      <alignment horizontal="center" vertical="center"/>
    </xf>
    <xf numFmtId="0" fontId="4" fillId="3" borderId="12" xfId="0" applyFont="1" applyFill="1" applyBorder="1" applyAlignment="1">
      <alignment horizontal="left" vertical="center"/>
    </xf>
    <xf numFmtId="37" fontId="6" fillId="3" borderId="13" xfId="0" applyNumberFormat="1" applyFont="1" applyFill="1" applyBorder="1" applyAlignment="1">
      <alignment horizontal="center" vertical="center"/>
    </xf>
    <xf numFmtId="3" fontId="4" fillId="3" borderId="1" xfId="0" applyNumberFormat="1" applyFont="1" applyFill="1" applyBorder="1" applyAlignment="1">
      <alignment horizontal="right" vertical="center"/>
    </xf>
    <xf numFmtId="174" fontId="4" fillId="3" borderId="1" xfId="0" applyNumberFormat="1" applyFont="1" applyFill="1" applyBorder="1" applyAlignment="1">
      <alignment horizontal="right" vertical="center"/>
    </xf>
    <xf numFmtId="170" fontId="4" fillId="3" borderId="1" xfId="0" applyNumberFormat="1" applyFont="1" applyFill="1" applyBorder="1" applyAlignment="1">
      <alignment horizontal="right" vertical="center"/>
    </xf>
    <xf numFmtId="0" fontId="4" fillId="3" borderId="1" xfId="0" applyFont="1" applyFill="1" applyBorder="1" applyAlignment="1">
      <alignment horizontal="right" vertical="center"/>
    </xf>
    <xf numFmtId="175" fontId="4" fillId="3" borderId="0" xfId="494" applyNumberFormat="1" applyFont="1" applyFill="1" applyAlignment="1">
      <alignment horizontal="center" vertical="center"/>
    </xf>
    <xf numFmtId="0" fontId="36" fillId="0" borderId="0" xfId="0" applyFont="1" applyAlignment="1">
      <alignment vertical="center"/>
    </xf>
    <xf numFmtId="0" fontId="9" fillId="17" borderId="0" xfId="13" applyFill="1" applyAlignment="1" applyProtection="1"/>
    <xf numFmtId="0" fontId="39" fillId="17" borderId="0" xfId="378" applyFill="1"/>
    <xf numFmtId="3" fontId="4" fillId="13" borderId="1" xfId="0" applyNumberFormat="1" applyFont="1" applyFill="1" applyBorder="1" applyAlignment="1">
      <alignment vertical="center"/>
    </xf>
    <xf numFmtId="3" fontId="4" fillId="3" borderId="0" xfId="51" applyNumberFormat="1" applyFont="1" applyFill="1" applyAlignment="1">
      <alignment horizontal="right" vertical="center"/>
    </xf>
    <xf numFmtId="3" fontId="4" fillId="3" borderId="1" xfId="51" applyNumberFormat="1" applyFont="1" applyFill="1" applyBorder="1" applyAlignment="1">
      <alignment horizontal="right" vertical="center"/>
    </xf>
    <xf numFmtId="0" fontId="4" fillId="3" borderId="0" xfId="51" applyFont="1" applyFill="1" applyAlignment="1">
      <alignment horizontal="left" vertical="center"/>
    </xf>
    <xf numFmtId="3" fontId="4" fillId="4" borderId="3" xfId="0" applyNumberFormat="1" applyFont="1" applyFill="1" applyBorder="1" applyAlignment="1">
      <alignment vertical="center"/>
    </xf>
    <xf numFmtId="37" fontId="12" fillId="3" borderId="10" xfId="0" applyNumberFormat="1" applyFont="1" applyFill="1" applyBorder="1" applyAlignment="1">
      <alignment horizontal="center" vertical="center"/>
    </xf>
    <xf numFmtId="0" fontId="4" fillId="0" borderId="0" xfId="0" applyFont="1" applyAlignment="1">
      <alignment vertical="top" wrapText="1"/>
    </xf>
    <xf numFmtId="170" fontId="4" fillId="6" borderId="1" xfId="0" applyNumberFormat="1" applyFont="1" applyFill="1" applyBorder="1" applyAlignment="1" applyProtection="1">
      <alignment vertical="center"/>
      <protection locked="0"/>
    </xf>
    <xf numFmtId="170" fontId="4" fillId="6" borderId="3" xfId="0" applyNumberFormat="1" applyFont="1" applyFill="1" applyBorder="1" applyAlignment="1" applyProtection="1">
      <alignment vertical="center"/>
      <protection locked="0"/>
    </xf>
    <xf numFmtId="37" fontId="4" fillId="6" borderId="0" xfId="51"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37" fontId="3" fillId="3" borderId="0" xfId="29" applyNumberFormat="1" applyFont="1" applyFill="1" applyAlignment="1">
      <alignment horizontal="left" vertical="center"/>
    </xf>
    <xf numFmtId="37" fontId="4" fillId="3" borderId="0" xfId="29" applyNumberFormat="1" applyFont="1" applyFill="1" applyAlignment="1">
      <alignment horizontal="left" vertical="center"/>
    </xf>
    <xf numFmtId="0" fontId="4" fillId="13" borderId="0" xfId="29" applyFont="1" applyFill="1" applyAlignment="1">
      <alignment vertical="center"/>
    </xf>
    <xf numFmtId="0" fontId="3" fillId="8" borderId="14" xfId="0" applyFont="1" applyFill="1" applyBorder="1" applyAlignment="1">
      <alignment vertical="center"/>
    </xf>
    <xf numFmtId="0" fontId="4" fillId="8" borderId="13" xfId="0" applyFont="1" applyFill="1" applyBorder="1" applyAlignment="1">
      <alignment vertical="center"/>
    </xf>
    <xf numFmtId="37" fontId="3" fillId="11" borderId="16" xfId="0" applyNumberFormat="1" applyFont="1" applyFill="1" applyBorder="1" applyAlignment="1">
      <alignment horizontal="left" vertical="center"/>
    </xf>
    <xf numFmtId="0" fontId="4" fillId="11" borderId="12" xfId="0" applyFont="1" applyFill="1" applyBorder="1" applyAlignment="1">
      <alignment vertical="center"/>
    </xf>
    <xf numFmtId="37" fontId="3" fillId="11" borderId="15" xfId="0" applyNumberFormat="1" applyFont="1" applyFill="1" applyBorder="1" applyAlignment="1">
      <alignment horizontal="left" vertical="center"/>
    </xf>
    <xf numFmtId="0" fontId="4" fillId="11" borderId="7" xfId="0" applyFont="1" applyFill="1" applyBorder="1" applyAlignment="1">
      <alignment vertical="center"/>
    </xf>
    <xf numFmtId="37" fontId="4" fillId="3" borderId="5" xfId="0" applyNumberFormat="1" applyFont="1" applyFill="1" applyBorder="1" applyAlignment="1">
      <alignment vertical="center"/>
    </xf>
    <xf numFmtId="37" fontId="3" fillId="11" borderId="11" xfId="0" applyNumberFormat="1" applyFont="1" applyFill="1" applyBorder="1" applyAlignment="1">
      <alignment horizontal="left" vertical="center"/>
    </xf>
    <xf numFmtId="0" fontId="4" fillId="11" borderId="9" xfId="0" applyFont="1" applyFill="1" applyBorder="1" applyAlignment="1">
      <alignment vertical="center"/>
    </xf>
    <xf numFmtId="37" fontId="4" fillId="8" borderId="3" xfId="0" applyNumberFormat="1" applyFont="1" applyFill="1" applyBorder="1" applyAlignment="1">
      <alignment horizontal="center" vertical="center"/>
    </xf>
    <xf numFmtId="0" fontId="4" fillId="8" borderId="5" xfId="0" applyFont="1" applyFill="1" applyBorder="1" applyAlignment="1">
      <alignment horizontal="center" vertical="center"/>
    </xf>
    <xf numFmtId="164" fontId="4" fillId="2" borderId="5" xfId="0" applyNumberFormat="1" applyFont="1" applyFill="1" applyBorder="1" applyAlignment="1" applyProtection="1">
      <alignment vertical="center"/>
      <protection locked="0"/>
    </xf>
    <xf numFmtId="164" fontId="4" fillId="3" borderId="8" xfId="0" applyNumberFormat="1" applyFont="1" applyFill="1" applyBorder="1" applyAlignment="1" applyProtection="1">
      <alignment vertical="center"/>
      <protection locked="0"/>
    </xf>
    <xf numFmtId="37" fontId="4" fillId="7" borderId="11" xfId="0" applyNumberFormat="1" applyFont="1" applyFill="1" applyBorder="1" applyAlignment="1">
      <alignment horizontal="left" vertical="center"/>
    </xf>
    <xf numFmtId="0" fontId="4" fillId="7" borderId="9" xfId="0" applyFont="1" applyFill="1" applyBorder="1" applyAlignment="1">
      <alignment vertical="center"/>
    </xf>
    <xf numFmtId="37" fontId="11" fillId="8" borderId="14" xfId="0" applyNumberFormat="1" applyFont="1" applyFill="1" applyBorder="1" applyAlignment="1">
      <alignment horizontal="left" vertical="center"/>
    </xf>
    <xf numFmtId="0" fontId="5" fillId="7" borderId="13" xfId="0" applyFont="1" applyFill="1" applyBorder="1" applyAlignment="1">
      <alignment vertical="center"/>
    </xf>
    <xf numFmtId="0" fontId="4" fillId="8" borderId="16" xfId="0" applyFont="1" applyFill="1" applyBorder="1" applyAlignment="1">
      <alignment vertical="center"/>
    </xf>
    <xf numFmtId="0" fontId="4" fillId="8" borderId="12" xfId="0" applyFont="1" applyFill="1" applyBorder="1" applyAlignment="1">
      <alignment vertical="center"/>
    </xf>
    <xf numFmtId="0" fontId="4" fillId="8" borderId="15" xfId="0" applyFont="1" applyFill="1" applyBorder="1" applyAlignment="1">
      <alignment vertical="center"/>
    </xf>
    <xf numFmtId="0" fontId="4" fillId="8" borderId="7" xfId="0" applyFont="1" applyFill="1" applyBorder="1" applyAlignment="1">
      <alignment vertical="center"/>
    </xf>
    <xf numFmtId="0" fontId="4" fillId="8" borderId="11" xfId="0" applyFont="1" applyFill="1" applyBorder="1" applyAlignment="1">
      <alignment vertical="center"/>
    </xf>
    <xf numFmtId="0" fontId="4" fillId="8" borderId="9" xfId="0" applyFont="1" applyFill="1" applyBorder="1" applyAlignment="1">
      <alignment vertical="center"/>
    </xf>
    <xf numFmtId="37" fontId="3" fillId="8" borderId="11" xfId="0" applyNumberFormat="1" applyFont="1" applyFill="1" applyBorder="1" applyAlignment="1">
      <alignment horizontal="left" vertical="center"/>
    </xf>
    <xf numFmtId="3" fontId="4" fillId="8" borderId="9" xfId="0" applyNumberFormat="1" applyFont="1" applyFill="1" applyBorder="1" applyAlignment="1">
      <alignment vertical="center"/>
    </xf>
    <xf numFmtId="3" fontId="4" fillId="6" borderId="5" xfId="0" applyNumberFormat="1" applyFont="1" applyFill="1" applyBorder="1" applyAlignment="1" applyProtection="1">
      <alignment vertical="center"/>
      <protection locked="0"/>
    </xf>
    <xf numFmtId="0" fontId="3" fillId="8" borderId="11" xfId="0" applyFont="1" applyFill="1" applyBorder="1" applyAlignment="1">
      <alignment vertical="center"/>
    </xf>
    <xf numFmtId="0" fontId="1" fillId="8" borderId="8" xfId="0" applyFont="1" applyFill="1" applyBorder="1" applyAlignment="1">
      <alignment vertical="center"/>
    </xf>
    <xf numFmtId="0" fontId="0" fillId="8" borderId="8" xfId="0" applyFill="1" applyBorder="1" applyAlignment="1" applyProtection="1">
      <alignment vertical="center"/>
      <protection locked="0"/>
    </xf>
    <xf numFmtId="0" fontId="0" fillId="8" borderId="9" xfId="0" applyFill="1" applyBorder="1" applyAlignment="1" applyProtection="1">
      <alignment vertical="center"/>
      <protection locked="0"/>
    </xf>
    <xf numFmtId="175" fontId="4" fillId="2" borderId="5" xfId="0" applyNumberFormat="1" applyFont="1" applyFill="1" applyBorder="1" applyAlignment="1" applyProtection="1">
      <alignment vertical="center"/>
      <protection locked="0"/>
    </xf>
    <xf numFmtId="173" fontId="4" fillId="16" borderId="7" xfId="51" applyNumberFormat="1" applyFont="1" applyFill="1" applyBorder="1" applyAlignment="1">
      <alignment horizontal="center"/>
    </xf>
    <xf numFmtId="165" fontId="4" fillId="4" borderId="0" xfId="0" applyNumberFormat="1" applyFont="1" applyFill="1" applyAlignment="1">
      <alignment vertical="center"/>
    </xf>
    <xf numFmtId="3" fontId="4" fillId="2" borderId="1" xfId="29" applyNumberFormat="1" applyFont="1" applyFill="1" applyBorder="1" applyAlignment="1" applyProtection="1">
      <alignment vertical="center"/>
      <protection locked="0"/>
    </xf>
    <xf numFmtId="170" fontId="4" fillId="3" borderId="0" xfId="29" applyNumberFormat="1" applyFont="1" applyFill="1" applyAlignment="1">
      <alignment vertical="center"/>
    </xf>
    <xf numFmtId="37" fontId="4" fillId="3" borderId="8" xfId="29" applyNumberFormat="1" applyFont="1" applyFill="1" applyBorder="1" applyAlignment="1">
      <alignment horizontal="left" vertical="center"/>
    </xf>
    <xf numFmtId="37" fontId="4" fillId="3" borderId="5" xfId="29" applyNumberFormat="1" applyFont="1" applyFill="1" applyBorder="1" applyAlignment="1">
      <alignment horizontal="center" vertical="center"/>
    </xf>
    <xf numFmtId="37" fontId="4" fillId="3" borderId="10" xfId="29" applyNumberFormat="1" applyFont="1" applyFill="1" applyBorder="1" applyAlignment="1">
      <alignment horizontal="center" vertical="center"/>
    </xf>
    <xf numFmtId="165" fontId="4" fillId="13" borderId="0" xfId="29" applyNumberFormat="1" applyFont="1" applyFill="1" applyAlignment="1">
      <alignment vertical="center"/>
    </xf>
    <xf numFmtId="0" fontId="4" fillId="13" borderId="0" xfId="29" applyFont="1" applyFill="1" applyAlignment="1" applyProtection="1">
      <alignment vertical="center"/>
      <protection locked="0"/>
    </xf>
    <xf numFmtId="0" fontId="4" fillId="3" borderId="11" xfId="29" applyFont="1" applyFill="1" applyBorder="1" applyAlignment="1">
      <alignment horizontal="left" vertical="center"/>
    </xf>
    <xf numFmtId="0" fontId="4" fillId="2" borderId="1" xfId="29" applyFont="1" applyFill="1" applyBorder="1" applyAlignment="1" applyProtection="1">
      <alignment vertical="center"/>
      <protection locked="0"/>
    </xf>
    <xf numFmtId="0" fontId="4" fillId="6" borderId="1" xfId="29" applyFont="1" applyFill="1" applyBorder="1" applyAlignment="1" applyProtection="1">
      <alignment vertical="center"/>
      <protection locked="0"/>
    </xf>
    <xf numFmtId="0" fontId="4" fillId="3" borderId="13" xfId="0" applyFont="1" applyFill="1" applyBorder="1" applyAlignment="1">
      <alignment vertical="center"/>
    </xf>
    <xf numFmtId="37" fontId="4" fillId="3" borderId="16" xfId="0" applyNumberFormat="1" applyFont="1" applyFill="1" applyBorder="1" applyAlignment="1" applyProtection="1">
      <alignment vertical="center"/>
      <protection locked="0"/>
    </xf>
    <xf numFmtId="37" fontId="4" fillId="3" borderId="15" xfId="0" applyNumberFormat="1" applyFont="1" applyFill="1" applyBorder="1" applyAlignment="1" applyProtection="1">
      <alignment vertical="center"/>
      <protection locked="0"/>
    </xf>
    <xf numFmtId="0" fontId="4" fillId="3" borderId="15" xfId="0" applyFont="1" applyFill="1" applyBorder="1" applyAlignment="1">
      <alignment vertical="center"/>
    </xf>
    <xf numFmtId="0" fontId="4" fillId="3" borderId="10" xfId="13" applyNumberFormat="1" applyFont="1" applyFill="1" applyBorder="1" applyAlignment="1" applyProtection="1">
      <alignment horizontal="right" vertical="center"/>
    </xf>
    <xf numFmtId="0" fontId="4" fillId="3" borderId="10" xfId="51" applyFont="1" applyFill="1" applyBorder="1" applyAlignment="1">
      <alignment vertical="center"/>
    </xf>
    <xf numFmtId="0" fontId="4" fillId="3" borderId="13" xfId="13" applyNumberFormat="1" applyFont="1" applyFill="1" applyBorder="1" applyAlignment="1" applyProtection="1">
      <alignment horizontal="right" vertical="center"/>
    </xf>
    <xf numFmtId="0" fontId="4" fillId="3" borderId="12" xfId="13" applyNumberFormat="1" applyFont="1" applyFill="1" applyBorder="1" applyAlignment="1" applyProtection="1">
      <alignment horizontal="right" vertical="center"/>
    </xf>
    <xf numFmtId="0" fontId="4" fillId="3" borderId="15" xfId="51" applyFont="1" applyFill="1" applyBorder="1" applyAlignment="1">
      <alignment vertical="center"/>
    </xf>
    <xf numFmtId="0" fontId="4" fillId="3" borderId="2" xfId="13" applyNumberFormat="1" applyFont="1" applyFill="1" applyBorder="1" applyAlignment="1" applyProtection="1">
      <alignment horizontal="right" vertical="center"/>
    </xf>
    <xf numFmtId="0" fontId="4" fillId="3" borderId="2" xfId="51" applyFont="1" applyFill="1" applyBorder="1" applyAlignment="1">
      <alignment vertical="center"/>
    </xf>
    <xf numFmtId="0" fontId="4" fillId="3" borderId="7" xfId="13" applyNumberFormat="1" applyFont="1" applyFill="1" applyBorder="1" applyAlignment="1" applyProtection="1">
      <alignment horizontal="right" vertical="center"/>
    </xf>
    <xf numFmtId="0" fontId="4" fillId="3" borderId="10" xfId="0" applyFont="1" applyFill="1" applyBorder="1" applyAlignment="1">
      <alignment horizontal="right" vertical="center"/>
    </xf>
    <xf numFmtId="0" fontId="4" fillId="3" borderId="13" xfId="0" applyFont="1" applyFill="1" applyBorder="1" applyAlignment="1">
      <alignment horizontal="right" vertical="center"/>
    </xf>
    <xf numFmtId="0" fontId="4" fillId="3" borderId="12" xfId="0" applyFont="1" applyFill="1" applyBorder="1" applyAlignment="1">
      <alignment horizontal="right" vertical="center"/>
    </xf>
    <xf numFmtId="0" fontId="4" fillId="3" borderId="2" xfId="0" applyFont="1" applyFill="1" applyBorder="1" applyAlignment="1">
      <alignment horizontal="right" vertical="center"/>
    </xf>
    <xf numFmtId="0" fontId="4" fillId="3" borderId="7" xfId="0" applyFont="1" applyFill="1" applyBorder="1" applyAlignment="1">
      <alignment horizontal="right" vertical="center"/>
    </xf>
    <xf numFmtId="0" fontId="12" fillId="3" borderId="10" xfId="0" applyFont="1" applyFill="1" applyBorder="1" applyAlignment="1">
      <alignment horizontal="center" vertical="center"/>
    </xf>
    <xf numFmtId="0" fontId="4" fillId="3" borderId="16" xfId="0" applyFont="1" applyFill="1" applyBorder="1" applyAlignment="1">
      <alignment horizontal="right" vertical="center"/>
    </xf>
    <xf numFmtId="0" fontId="4" fillId="3" borderId="15" xfId="0" applyFont="1" applyFill="1" applyBorder="1" applyAlignment="1">
      <alignment horizontal="right" vertical="center"/>
    </xf>
    <xf numFmtId="0" fontId="12" fillId="3" borderId="2" xfId="0" applyFont="1" applyFill="1" applyBorder="1" applyAlignment="1">
      <alignment horizontal="center" vertical="center"/>
    </xf>
    <xf numFmtId="0" fontId="0" fillId="3" borderId="13" xfId="0" applyFill="1" applyBorder="1" applyAlignment="1">
      <alignment vertical="center"/>
    </xf>
    <xf numFmtId="0" fontId="0" fillId="3" borderId="12" xfId="0" applyFill="1" applyBorder="1" applyAlignment="1">
      <alignment vertical="center"/>
    </xf>
    <xf numFmtId="37" fontId="12" fillId="3" borderId="13" xfId="0" applyNumberFormat="1" applyFont="1" applyFill="1" applyBorder="1" applyAlignment="1">
      <alignment horizontal="center" vertical="center"/>
    </xf>
    <xf numFmtId="37" fontId="12" fillId="3" borderId="12" xfId="0" applyNumberFormat="1" applyFont="1" applyFill="1" applyBorder="1" applyAlignment="1">
      <alignment horizontal="center" vertical="center"/>
    </xf>
    <xf numFmtId="0" fontId="4" fillId="3" borderId="16" xfId="0" applyFont="1" applyFill="1" applyBorder="1" applyAlignment="1">
      <alignment vertical="center"/>
    </xf>
    <xf numFmtId="0" fontId="4" fillId="3" borderId="12" xfId="0" applyFont="1" applyFill="1" applyBorder="1" applyAlignment="1">
      <alignment vertical="center"/>
    </xf>
    <xf numFmtId="37" fontId="3" fillId="3" borderId="14" xfId="0" applyNumberFormat="1" applyFont="1" applyFill="1" applyBorder="1" applyAlignment="1" applyProtection="1">
      <alignment vertical="center"/>
      <protection locked="0"/>
    </xf>
    <xf numFmtId="0" fontId="3" fillId="3" borderId="14" xfId="0" applyFont="1" applyFill="1" applyBorder="1" applyAlignment="1">
      <alignment vertical="center"/>
    </xf>
    <xf numFmtId="0" fontId="3" fillId="3" borderId="14" xfId="51" applyFont="1" applyFill="1" applyBorder="1" applyAlignment="1">
      <alignment vertical="center"/>
    </xf>
    <xf numFmtId="0" fontId="3" fillId="3" borderId="14" xfId="0" applyFont="1" applyFill="1" applyBorder="1" applyAlignment="1">
      <alignment horizontal="left" vertical="center"/>
    </xf>
    <xf numFmtId="0" fontId="3" fillId="0" borderId="0" xfId="0" applyFont="1" applyAlignment="1" applyProtection="1">
      <alignment vertical="center"/>
      <protection locked="0"/>
    </xf>
    <xf numFmtId="37" fontId="4" fillId="3" borderId="2" xfId="0" applyNumberFormat="1" applyFont="1" applyFill="1" applyBorder="1" applyAlignment="1" applyProtection="1">
      <alignment vertical="center"/>
      <protection locked="0"/>
    </xf>
    <xf numFmtId="0" fontId="4" fillId="6" borderId="2" xfId="0" applyFont="1" applyFill="1" applyBorder="1" applyAlignment="1" applyProtection="1">
      <alignment vertical="center"/>
      <protection locked="0"/>
    </xf>
    <xf numFmtId="0" fontId="4" fillId="6" borderId="8" xfId="0" applyFont="1" applyFill="1" applyBorder="1" applyAlignment="1" applyProtection="1">
      <alignment vertical="center"/>
      <protection locked="0"/>
    </xf>
    <xf numFmtId="37" fontId="18" fillId="3" borderId="0" xfId="0" applyNumberFormat="1" applyFont="1" applyFill="1" applyAlignment="1">
      <alignment horizontal="left" vertical="center"/>
    </xf>
    <xf numFmtId="0" fontId="20" fillId="0" borderId="0" xfId="0" applyFont="1" applyAlignment="1">
      <alignment horizontal="center" vertical="center" wrapText="1"/>
    </xf>
    <xf numFmtId="0" fontId="31" fillId="0" borderId="0" xfId="0" applyFont="1" applyAlignment="1">
      <alignment horizontal="center" vertical="center" wrapText="1"/>
    </xf>
    <xf numFmtId="0" fontId="44" fillId="0" borderId="0" xfId="0" applyFont="1" applyAlignment="1">
      <alignment vertical="center" wrapText="1"/>
    </xf>
    <xf numFmtId="0" fontId="46" fillId="0" borderId="0" xfId="0"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left" vertical="center" wrapText="1" indent="2"/>
    </xf>
    <xf numFmtId="0" fontId="4" fillId="0" borderId="0" xfId="0" applyFont="1" applyAlignment="1">
      <alignment horizontal="left" vertical="center" wrapText="1"/>
    </xf>
    <xf numFmtId="0" fontId="4" fillId="0" borderId="0" xfId="0" applyFont="1" applyAlignment="1">
      <alignment horizontal="left" vertical="center" indent="2"/>
    </xf>
    <xf numFmtId="0" fontId="47" fillId="0" borderId="0" xfId="0" applyFont="1" applyAlignment="1">
      <alignment horizontal="left" vertical="center" wrapText="1" indent="4"/>
    </xf>
    <xf numFmtId="0" fontId="11" fillId="0" borderId="0" xfId="0" applyFont="1" applyAlignment="1">
      <alignment vertical="center" wrapText="1"/>
    </xf>
    <xf numFmtId="0" fontId="11" fillId="0" borderId="0" xfId="0" applyFont="1" applyAlignment="1">
      <alignment horizontal="center"/>
    </xf>
    <xf numFmtId="0" fontId="4" fillId="0" borderId="0" xfId="0" quotePrefix="1" applyFont="1"/>
    <xf numFmtId="0" fontId="3" fillId="0" borderId="0" xfId="0" applyFont="1"/>
    <xf numFmtId="0" fontId="5" fillId="0" borderId="0" xfId="0" applyFont="1" applyAlignment="1">
      <alignment vertical="center" wrapText="1"/>
    </xf>
    <xf numFmtId="171" fontId="4" fillId="6" borderId="1" xfId="0" applyNumberFormat="1" applyFont="1" applyFill="1" applyBorder="1" applyAlignment="1" applyProtection="1">
      <alignment vertical="center"/>
      <protection locked="0"/>
    </xf>
    <xf numFmtId="0" fontId="49" fillId="15" borderId="0" xfId="474" applyFont="1" applyFill="1" applyAlignment="1">
      <alignment wrapText="1"/>
    </xf>
    <xf numFmtId="0" fontId="4" fillId="0" borderId="0" xfId="0" applyFont="1" applyAlignment="1">
      <alignment horizontal="right"/>
    </xf>
    <xf numFmtId="49" fontId="4" fillId="0" borderId="0" xfId="474" applyNumberFormat="1" applyFont="1" applyAlignment="1" applyProtection="1">
      <alignment horizontal="left" vertical="center"/>
      <protection locked="0"/>
    </xf>
    <xf numFmtId="0" fontId="0" fillId="0" borderId="0" xfId="0" applyAlignment="1">
      <alignment horizontal="left"/>
    </xf>
    <xf numFmtId="0" fontId="27" fillId="0" borderId="0" xfId="474" applyAlignment="1">
      <alignment horizontal="right"/>
    </xf>
    <xf numFmtId="0" fontId="27" fillId="0" borderId="0" xfId="474" applyAlignment="1">
      <alignment horizontal="left"/>
    </xf>
    <xf numFmtId="0" fontId="4" fillId="0" borderId="0" xfId="474" applyFont="1" applyAlignment="1">
      <alignment horizontal="right" vertical="center"/>
    </xf>
    <xf numFmtId="0" fontId="18" fillId="0" borderId="0" xfId="474" applyFont="1" applyAlignment="1">
      <alignment horizontal="left" vertical="center"/>
    </xf>
    <xf numFmtId="3" fontId="4" fillId="3" borderId="14" xfId="0" applyNumberFormat="1" applyFont="1" applyFill="1" applyBorder="1" applyAlignment="1">
      <alignment horizontal="right" vertical="center"/>
    </xf>
    <xf numFmtId="3" fontId="4" fillId="3" borderId="13" xfId="0" applyNumberFormat="1" applyFont="1" applyFill="1" applyBorder="1" applyAlignment="1">
      <alignment horizontal="right" vertical="center"/>
    </xf>
    <xf numFmtId="3" fontId="4" fillId="3" borderId="0" xfId="0" applyNumberFormat="1" applyFont="1" applyFill="1" applyAlignment="1">
      <alignment horizontal="right" vertical="center"/>
    </xf>
    <xf numFmtId="0" fontId="4" fillId="3" borderId="5" xfId="0" quotePrefix="1" applyFont="1" applyFill="1" applyBorder="1" applyAlignment="1">
      <alignment horizontal="center"/>
    </xf>
    <xf numFmtId="0" fontId="4" fillId="0" borderId="2" xfId="0" applyFont="1" applyBorder="1"/>
    <xf numFmtId="171" fontId="18" fillId="3" borderId="5" xfId="0" applyNumberFormat="1" applyFont="1" applyFill="1" applyBorder="1" applyAlignment="1">
      <alignment horizontal="center" vertical="center"/>
    </xf>
    <xf numFmtId="37" fontId="4" fillId="3" borderId="6" xfId="0" applyNumberFormat="1" applyFont="1" applyFill="1" applyBorder="1" applyAlignment="1">
      <alignment horizontal="left" vertical="center"/>
    </xf>
    <xf numFmtId="3" fontId="4" fillId="3" borderId="18" xfId="0" applyNumberFormat="1" applyFont="1" applyFill="1" applyBorder="1" applyAlignment="1">
      <alignment horizontal="center" vertical="center"/>
    </xf>
    <xf numFmtId="171" fontId="4" fillId="3" borderId="18" xfId="0" applyNumberFormat="1" applyFont="1" applyFill="1" applyBorder="1" applyAlignment="1">
      <alignment horizontal="center" vertical="center"/>
    </xf>
    <xf numFmtId="171" fontId="33" fillId="16" borderId="15" xfId="0" applyNumberFormat="1" applyFont="1" applyFill="1" applyBorder="1" applyAlignment="1">
      <alignment horizontal="center" vertical="center"/>
    </xf>
    <xf numFmtId="0" fontId="34" fillId="13" borderId="0" xfId="0" applyFont="1" applyFill="1" applyAlignment="1">
      <alignment horizontal="center" vertical="center"/>
    </xf>
    <xf numFmtId="0" fontId="0" fillId="13" borderId="12" xfId="0" applyFill="1" applyBorder="1" applyAlignment="1">
      <alignment vertical="center"/>
    </xf>
    <xf numFmtId="171" fontId="33" fillId="13" borderId="15" xfId="0" applyNumberFormat="1" applyFont="1" applyFill="1" applyBorder="1" applyAlignment="1">
      <alignment horizontal="center" vertical="center"/>
    </xf>
    <xf numFmtId="171" fontId="35" fillId="13" borderId="15" xfId="0" applyNumberFormat="1" applyFont="1" applyFill="1" applyBorder="1" applyAlignment="1">
      <alignment horizontal="center" vertical="center"/>
    </xf>
    <xf numFmtId="0" fontId="35" fillId="13" borderId="0" xfId="0" applyFont="1" applyFill="1" applyAlignment="1">
      <alignment horizontal="left" vertical="center"/>
    </xf>
    <xf numFmtId="171" fontId="33" fillId="13" borderId="11" xfId="0" applyNumberFormat="1" applyFont="1" applyFill="1" applyBorder="1" applyAlignment="1">
      <alignment horizontal="center" vertical="center"/>
    </xf>
    <xf numFmtId="37" fontId="4" fillId="3" borderId="12" xfId="0" applyNumberFormat="1" applyFont="1" applyFill="1" applyBorder="1" applyAlignment="1">
      <alignment horizontal="right" vertical="center"/>
    </xf>
    <xf numFmtId="37" fontId="4" fillId="16" borderId="7" xfId="0" applyNumberFormat="1" applyFont="1" applyFill="1" applyBorder="1" applyAlignment="1">
      <alignment horizontal="right" vertical="center"/>
    </xf>
    <xf numFmtId="170" fontId="4" fillId="3" borderId="1" xfId="0" applyNumberFormat="1" applyFont="1" applyFill="1" applyBorder="1" applyAlignment="1">
      <alignment horizontal="centerContinuous" vertical="center"/>
    </xf>
    <xf numFmtId="170" fontId="4" fillId="3" borderId="1" xfId="0" applyNumberFormat="1" applyFont="1" applyFill="1" applyBorder="1" applyAlignment="1">
      <alignment horizontal="center" vertical="center"/>
    </xf>
    <xf numFmtId="49" fontId="4" fillId="3" borderId="0" xfId="0" applyNumberFormat="1" applyFont="1" applyFill="1" applyAlignment="1" applyProtection="1">
      <alignment horizontal="left" vertical="center"/>
      <protection locked="0"/>
    </xf>
    <xf numFmtId="3" fontId="3" fillId="3" borderId="11" xfId="0" applyNumberFormat="1" applyFont="1" applyFill="1" applyBorder="1" applyAlignment="1">
      <alignment vertical="center"/>
    </xf>
    <xf numFmtId="3" fontId="3" fillId="3" borderId="1" xfId="0" applyNumberFormat="1" applyFont="1" applyFill="1" applyBorder="1" applyAlignment="1">
      <alignment horizontal="right" vertical="center"/>
    </xf>
    <xf numFmtId="3" fontId="3" fillId="3" borderId="1" xfId="0" applyNumberFormat="1" applyFont="1" applyFill="1" applyBorder="1" applyAlignment="1">
      <alignment vertical="center"/>
    </xf>
    <xf numFmtId="3" fontId="3" fillId="3" borderId="1" xfId="51" applyNumberFormat="1" applyFont="1" applyFill="1" applyBorder="1" applyAlignment="1">
      <alignment horizontal="right" vertical="center"/>
    </xf>
    <xf numFmtId="3" fontId="4" fillId="3" borderId="17" xfId="0" applyNumberFormat="1" applyFont="1" applyFill="1" applyBorder="1" applyAlignment="1">
      <alignment horizontal="right" vertical="center"/>
    </xf>
    <xf numFmtId="0" fontId="4" fillId="3" borderId="17" xfId="0" applyFont="1" applyFill="1" applyBorder="1" applyAlignment="1">
      <alignment horizontal="right" vertical="center"/>
    </xf>
    <xf numFmtId="3" fontId="4" fillId="12" borderId="5" xfId="0" applyNumberFormat="1" applyFont="1" applyFill="1" applyBorder="1" applyAlignment="1">
      <alignment horizontal="center" vertical="center"/>
    </xf>
    <xf numFmtId="171" fontId="4" fillId="12" borderId="5" xfId="0" applyNumberFormat="1" applyFont="1" applyFill="1" applyBorder="1" applyAlignment="1">
      <alignment horizontal="center" vertical="center"/>
    </xf>
    <xf numFmtId="0" fontId="13" fillId="0" borderId="0" xfId="0" applyFont="1" applyAlignment="1">
      <alignment horizontal="center"/>
    </xf>
    <xf numFmtId="0" fontId="2" fillId="0" borderId="0" xfId="0" applyFont="1"/>
    <xf numFmtId="0" fontId="4" fillId="0" borderId="0" xfId="205" applyFont="1"/>
    <xf numFmtId="0" fontId="53" fillId="0" borderId="0" xfId="0" applyFont="1"/>
    <xf numFmtId="0" fontId="54" fillId="0" borderId="0" xfId="0" applyFont="1"/>
    <xf numFmtId="0" fontId="55" fillId="0" borderId="0" xfId="0" applyFont="1" applyAlignment="1">
      <alignment horizontal="left" vertical="center" readingOrder="1"/>
    </xf>
    <xf numFmtId="0" fontId="56" fillId="0" borderId="0" xfId="0" applyFont="1" applyAlignment="1">
      <alignment horizontal="left" vertical="center" indent="2" readingOrder="1"/>
    </xf>
    <xf numFmtId="0" fontId="56" fillId="0" borderId="2" xfId="0" applyFont="1" applyBorder="1" applyAlignment="1">
      <alignment horizontal="center" vertical="center" readingOrder="1"/>
    </xf>
    <xf numFmtId="0" fontId="57" fillId="0" borderId="0" xfId="0" applyFont="1" applyAlignment="1">
      <alignment horizontal="left" vertical="center" readingOrder="1"/>
    </xf>
    <xf numFmtId="0" fontId="0" fillId="19" borderId="0" xfId="0" applyFill="1"/>
    <xf numFmtId="0" fontId="55" fillId="19" borderId="0" xfId="0" applyFont="1" applyFill="1" applyAlignment="1">
      <alignment horizontal="left" vertical="center" readingOrder="1"/>
    </xf>
    <xf numFmtId="0" fontId="59" fillId="0" borderId="0" xfId="0" applyFont="1" applyAlignment="1">
      <alignment wrapText="1"/>
    </xf>
    <xf numFmtId="0" fontId="1" fillId="0" borderId="0" xfId="0" applyFont="1"/>
    <xf numFmtId="0" fontId="60" fillId="0" borderId="0" xfId="0" applyFont="1" applyAlignment="1">
      <alignment horizontal="left"/>
    </xf>
    <xf numFmtId="0" fontId="61" fillId="0" borderId="0" xfId="0" applyFont="1"/>
    <xf numFmtId="0" fontId="32" fillId="0" borderId="0" xfId="13" applyFont="1" applyAlignment="1" applyProtection="1"/>
    <xf numFmtId="0" fontId="5" fillId="0" borderId="0" xfId="29" applyFont="1" applyAlignment="1">
      <alignment wrapText="1"/>
    </xf>
    <xf numFmtId="0" fontId="4" fillId="0" borderId="0" xfId="29" applyFont="1" applyAlignment="1">
      <alignment vertical="center" wrapText="1"/>
    </xf>
    <xf numFmtId="0" fontId="5" fillId="0" borderId="0" xfId="0" applyFont="1" applyAlignment="1">
      <alignment wrapText="1"/>
    </xf>
    <xf numFmtId="0" fontId="5" fillId="0" borderId="0" xfId="91" applyFont="1" applyAlignment="1">
      <alignment vertical="center" wrapText="1"/>
    </xf>
    <xf numFmtId="0" fontId="4" fillId="0" borderId="0" xfId="91" applyFont="1" applyAlignment="1">
      <alignment vertical="center" wrapText="1"/>
    </xf>
    <xf numFmtId="0" fontId="4" fillId="0" borderId="0" xfId="125" applyFont="1" applyAlignment="1">
      <alignment vertical="center" wrapText="1"/>
    </xf>
    <xf numFmtId="0" fontId="4" fillId="0" borderId="0" xfId="96" applyFont="1" applyAlignment="1">
      <alignment vertical="center" wrapText="1"/>
    </xf>
    <xf numFmtId="0" fontId="4" fillId="0" borderId="0" xfId="469" applyFont="1" applyAlignment="1">
      <alignment vertical="center" wrapText="1"/>
    </xf>
    <xf numFmtId="0" fontId="61" fillId="0" borderId="0" xfId="511" applyFont="1"/>
    <xf numFmtId="0" fontId="61" fillId="0" borderId="0" xfId="511" applyFont="1" applyAlignment="1">
      <alignment horizontal="left" wrapText="1"/>
    </xf>
    <xf numFmtId="0" fontId="61" fillId="0" borderId="0" xfId="511" applyFont="1" applyAlignment="1">
      <alignment horizontal="center" wrapText="1"/>
    </xf>
    <xf numFmtId="0" fontId="61" fillId="0" borderId="0" xfId="511" applyFont="1" applyAlignment="1">
      <alignment horizontal="center"/>
    </xf>
    <xf numFmtId="0" fontId="63" fillId="20" borderId="1" xfId="511" applyFont="1" applyFill="1" applyBorder="1" applyAlignment="1">
      <alignment horizontal="center" vertical="center"/>
    </xf>
    <xf numFmtId="0" fontId="61" fillId="0" borderId="1" xfId="511" applyFont="1" applyBorder="1" applyAlignment="1">
      <alignment horizontal="center"/>
    </xf>
    <xf numFmtId="0" fontId="61" fillId="0" borderId="6" xfId="511" applyFont="1" applyBorder="1" applyAlignment="1">
      <alignment horizontal="center"/>
    </xf>
    <xf numFmtId="0" fontId="64" fillId="0" borderId="5" xfId="511" applyFont="1" applyBorder="1" applyAlignment="1">
      <alignment horizontal="center" vertical="center"/>
    </xf>
    <xf numFmtId="0" fontId="61" fillId="0" borderId="0" xfId="511" applyFont="1" applyAlignment="1">
      <alignment horizontal="right" wrapText="1"/>
    </xf>
    <xf numFmtId="0" fontId="61" fillId="0" borderId="0" xfId="511" applyFont="1" applyAlignment="1">
      <alignment wrapText="1"/>
    </xf>
    <xf numFmtId="0" fontId="44" fillId="0" borderId="0" xfId="0" applyFont="1" applyAlignment="1">
      <alignment wrapText="1"/>
    </xf>
    <xf numFmtId="0" fontId="5" fillId="0" borderId="0" xfId="0" applyFont="1" applyAlignment="1">
      <alignment vertical="top" wrapText="1"/>
    </xf>
    <xf numFmtId="0" fontId="4" fillId="0" borderId="0" xfId="0" applyFont="1" applyAlignment="1">
      <alignment horizontal="left" vertical="top" wrapText="1"/>
    </xf>
    <xf numFmtId="0" fontId="55" fillId="0" borderId="0" xfId="0" applyFont="1" applyAlignment="1">
      <alignment vertical="center"/>
    </xf>
    <xf numFmtId="0" fontId="55" fillId="0" borderId="0" xfId="0" quotePrefix="1" applyFont="1" applyAlignment="1">
      <alignment horizontal="center" vertical="center"/>
    </xf>
    <xf numFmtId="9" fontId="55" fillId="0" borderId="0" xfId="0" applyNumberFormat="1" applyFont="1" applyAlignment="1">
      <alignment horizontal="center" vertical="center"/>
    </xf>
    <xf numFmtId="0" fontId="55" fillId="0" borderId="0" xfId="0" applyFont="1" applyAlignment="1">
      <alignment horizontal="center" vertical="center"/>
    </xf>
    <xf numFmtId="169" fontId="55" fillId="0" borderId="0" xfId="1" applyNumberFormat="1" applyFont="1" applyAlignment="1">
      <alignment horizontal="center" vertical="center"/>
    </xf>
    <xf numFmtId="169" fontId="55" fillId="0" borderId="0" xfId="0" applyNumberFormat="1" applyFont="1" applyAlignment="1">
      <alignment horizontal="center" vertical="center"/>
    </xf>
    <xf numFmtId="3" fontId="55" fillId="0" borderId="0" xfId="0" applyNumberFormat="1" applyFont="1" applyAlignment="1">
      <alignment vertical="center"/>
    </xf>
    <xf numFmtId="37" fontId="4" fillId="3" borderId="19" xfId="0" applyNumberFormat="1" applyFont="1" applyFill="1" applyBorder="1" applyAlignment="1">
      <alignment vertical="center"/>
    </xf>
    <xf numFmtId="37" fontId="4" fillId="3" borderId="19" xfId="0" applyNumberFormat="1" applyFont="1" applyFill="1" applyBorder="1" applyAlignment="1">
      <alignment horizontal="fill" vertical="center"/>
    </xf>
    <xf numFmtId="0" fontId="4" fillId="3" borderId="19" xfId="0" applyFont="1" applyFill="1" applyBorder="1" applyAlignment="1">
      <alignment vertical="center"/>
    </xf>
    <xf numFmtId="0" fontId="4" fillId="3" borderId="19" xfId="0" applyFont="1" applyFill="1" applyBorder="1" applyAlignment="1" applyProtection="1">
      <alignment vertical="center"/>
      <protection locked="0"/>
    </xf>
    <xf numFmtId="37" fontId="4" fillId="3" borderId="19" xfId="0" applyNumberFormat="1" applyFont="1" applyFill="1" applyBorder="1" applyAlignment="1" applyProtection="1">
      <alignment horizontal="fill" vertical="center"/>
      <protection locked="0"/>
    </xf>
    <xf numFmtId="0" fontId="65" fillId="12" borderId="0" xfId="0" applyFont="1" applyFill="1" applyAlignment="1">
      <alignment vertical="center"/>
    </xf>
    <xf numFmtId="0" fontId="0" fillId="12" borderId="0" xfId="0" applyFill="1" applyAlignment="1">
      <alignment vertical="center"/>
    </xf>
    <xf numFmtId="9" fontId="55" fillId="12" borderId="0" xfId="0" applyNumberFormat="1" applyFont="1" applyFill="1" applyAlignment="1">
      <alignment horizontal="center" vertical="center"/>
    </xf>
    <xf numFmtId="0" fontId="55" fillId="12" borderId="0" xfId="0" applyFont="1" applyFill="1" applyAlignment="1">
      <alignment horizontal="center" vertical="center"/>
    </xf>
    <xf numFmtId="169" fontId="55" fillId="12" borderId="0" xfId="1" applyNumberFormat="1" applyFont="1" applyFill="1" applyAlignment="1">
      <alignment horizontal="center" vertical="center"/>
    </xf>
    <xf numFmtId="169" fontId="55" fillId="12" borderId="0" xfId="0" applyNumberFormat="1" applyFont="1" applyFill="1" applyAlignment="1">
      <alignment horizontal="center" vertical="center"/>
    </xf>
    <xf numFmtId="169" fontId="4" fillId="0" borderId="0" xfId="0" applyNumberFormat="1" applyFont="1" applyAlignment="1">
      <alignment vertical="center"/>
    </xf>
    <xf numFmtId="37" fontId="33" fillId="0" borderId="0" xfId="0" applyNumberFormat="1" applyFont="1" applyAlignment="1">
      <alignment horizontal="left" vertical="center"/>
    </xf>
    <xf numFmtId="0" fontId="37" fillId="0" borderId="0" xfId="0" applyFont="1" applyAlignment="1">
      <alignment horizontal="left" vertical="center"/>
    </xf>
    <xf numFmtId="172" fontId="35" fillId="0" borderId="0" xfId="0" applyNumberFormat="1" applyFont="1" applyAlignment="1" applyProtection="1">
      <alignment horizontal="center" vertical="center"/>
      <protection locked="0"/>
    </xf>
    <xf numFmtId="172" fontId="33" fillId="0" borderId="0" xfId="0" applyNumberFormat="1" applyFont="1" applyAlignment="1">
      <alignment horizontal="center" vertical="center"/>
    </xf>
    <xf numFmtId="0" fontId="33" fillId="0" borderId="0" xfId="0" applyFont="1" applyAlignment="1">
      <alignment vertical="center"/>
    </xf>
    <xf numFmtId="172" fontId="42" fillId="13" borderId="16" xfId="51" applyNumberFormat="1" applyFont="1" applyFill="1" applyBorder="1" applyAlignment="1">
      <alignment horizontal="center" vertical="center"/>
    </xf>
    <xf numFmtId="0" fontId="42" fillId="13" borderId="0" xfId="51" applyFont="1" applyFill="1" applyAlignment="1">
      <alignment vertical="center"/>
    </xf>
    <xf numFmtId="0" fontId="42" fillId="13" borderId="12" xfId="51" applyFont="1" applyFill="1" applyBorder="1" applyAlignment="1">
      <alignment vertical="center"/>
    </xf>
    <xf numFmtId="0" fontId="43" fillId="13" borderId="12" xfId="51" applyFont="1" applyFill="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horizontal="center"/>
    </xf>
    <xf numFmtId="169" fontId="4" fillId="6" borderId="1" xfId="0" applyNumberFormat="1" applyFont="1" applyFill="1" applyBorder="1" applyAlignment="1" applyProtection="1">
      <alignment horizontal="center" vertical="center"/>
      <protection locked="0"/>
    </xf>
    <xf numFmtId="0" fontId="4" fillId="0" borderId="0" xfId="0" applyFont="1" applyAlignment="1">
      <alignment horizontal="center" vertical="center"/>
    </xf>
    <xf numFmtId="177" fontId="4" fillId="0" borderId="0" xfId="512" applyNumberFormat="1" applyFont="1" applyAlignment="1">
      <alignment horizontal="center" vertical="center"/>
    </xf>
    <xf numFmtId="173" fontId="4" fillId="0" borderId="15" xfId="0" applyNumberFormat="1" applyFont="1" applyBorder="1" applyAlignment="1">
      <alignment horizontal="center" vertical="center"/>
    </xf>
    <xf numFmtId="0" fontId="4" fillId="21" borderId="0" xfId="0" applyFont="1" applyFill="1" applyAlignment="1">
      <alignment horizontal="center" vertical="center"/>
    </xf>
    <xf numFmtId="43" fontId="4" fillId="0" borderId="0" xfId="1" applyFont="1" applyAlignment="1">
      <alignment vertical="center"/>
    </xf>
    <xf numFmtId="43" fontId="4" fillId="0" borderId="2" xfId="1" applyFont="1" applyBorder="1" applyAlignment="1">
      <alignment vertical="center"/>
    </xf>
    <xf numFmtId="43" fontId="4" fillId="22" borderId="0" xfId="0" applyNumberFormat="1" applyFont="1" applyFill="1" applyAlignment="1">
      <alignment vertical="center"/>
    </xf>
    <xf numFmtId="3" fontId="4" fillId="22" borderId="18" xfId="0" applyNumberFormat="1" applyFont="1" applyFill="1" applyBorder="1" applyAlignment="1">
      <alignment horizontal="center" vertical="center"/>
    </xf>
    <xf numFmtId="0" fontId="43" fillId="0" borderId="0" xfId="0" applyFont="1" applyAlignment="1">
      <alignment vertical="center"/>
    </xf>
    <xf numFmtId="3" fontId="43" fillId="2" borderId="1" xfId="0" applyNumberFormat="1" applyFont="1" applyFill="1" applyBorder="1" applyAlignment="1" applyProtection="1">
      <alignment vertical="center"/>
      <protection locked="0"/>
    </xf>
    <xf numFmtId="0" fontId="4" fillId="0" borderId="0" xfId="0" applyFont="1" applyAlignment="1">
      <alignment horizontal="left" wrapText="1"/>
    </xf>
    <xf numFmtId="0" fontId="67" fillId="0" borderId="1" xfId="0" applyFont="1" applyBorder="1" applyAlignment="1">
      <alignment vertical="center"/>
    </xf>
    <xf numFmtId="0" fontId="67" fillId="0" borderId="3" xfId="0" applyFont="1" applyBorder="1" applyAlignment="1">
      <alignment vertical="center"/>
    </xf>
    <xf numFmtId="0" fontId="67" fillId="0" borderId="4" xfId="0" applyFont="1" applyBorder="1" applyAlignment="1">
      <alignment vertical="center"/>
    </xf>
    <xf numFmtId="170" fontId="67" fillId="0" borderId="5" xfId="0" applyNumberFormat="1" applyFont="1" applyBorder="1" applyAlignment="1">
      <alignment vertical="center"/>
    </xf>
    <xf numFmtId="37" fontId="12" fillId="3" borderId="0" xfId="0" applyNumberFormat="1" applyFont="1" applyFill="1" applyAlignment="1">
      <alignment horizontal="center" vertical="center"/>
    </xf>
    <xf numFmtId="0" fontId="13" fillId="0" borderId="0" xfId="0" applyFont="1" applyAlignment="1">
      <alignment horizontal="center" vertical="center"/>
    </xf>
    <xf numFmtId="37" fontId="11" fillId="3" borderId="0" xfId="0" applyNumberFormat="1" applyFont="1" applyFill="1" applyAlignment="1">
      <alignment horizontal="center" vertical="center"/>
    </xf>
    <xf numFmtId="0" fontId="0" fillId="0" borderId="0" xfId="0" applyAlignment="1">
      <alignment horizontal="center" vertical="center"/>
    </xf>
    <xf numFmtId="37" fontId="3" fillId="3" borderId="0" xfId="29" applyNumberFormat="1" applyFont="1" applyFill="1" applyAlignment="1">
      <alignment vertical="center" wrapText="1"/>
    </xf>
    <xf numFmtId="0" fontId="4" fillId="3" borderId="14" xfId="29" applyFont="1" applyFill="1" applyBorder="1" applyAlignment="1">
      <alignment vertical="center" wrapText="1"/>
    </xf>
    <xf numFmtId="0" fontId="2" fillId="0" borderId="13" xfId="29" applyBorder="1" applyAlignment="1">
      <alignment vertical="center" wrapText="1"/>
    </xf>
    <xf numFmtId="0" fontId="2" fillId="0" borderId="16" xfId="29" applyBorder="1" applyAlignment="1">
      <alignment vertical="center" wrapText="1"/>
    </xf>
    <xf numFmtId="0" fontId="2" fillId="0" borderId="12" xfId="29" applyBorder="1" applyAlignment="1">
      <alignment vertical="center" wrapText="1"/>
    </xf>
    <xf numFmtId="0" fontId="2" fillId="0" borderId="15" xfId="29" applyBorder="1" applyAlignment="1">
      <alignment vertical="center" wrapText="1"/>
    </xf>
    <xf numFmtId="0" fontId="2" fillId="0" borderId="7" xfId="29" applyBorder="1" applyAlignment="1">
      <alignment vertical="center" wrapText="1"/>
    </xf>
    <xf numFmtId="37" fontId="4" fillId="6" borderId="11" xfId="0" applyNumberFormat="1" applyFont="1" applyFill="1" applyBorder="1" applyAlignment="1" applyProtection="1">
      <alignment horizontal="center" vertical="center"/>
      <protection locked="0"/>
    </xf>
    <xf numFmtId="37" fontId="4" fillId="6" borderId="9" xfId="0" applyNumberFormat="1" applyFont="1" applyFill="1" applyBorder="1" applyAlignment="1" applyProtection="1">
      <alignment horizontal="center" vertical="center"/>
      <protection locked="0"/>
    </xf>
    <xf numFmtId="0" fontId="14" fillId="3" borderId="0" xfId="0" applyFont="1" applyFill="1" applyAlignment="1">
      <alignment vertical="center"/>
    </xf>
    <xf numFmtId="0" fontId="17" fillId="0" borderId="0" xfId="0" applyFont="1" applyAlignment="1">
      <alignment vertical="center"/>
    </xf>
    <xf numFmtId="0" fontId="4" fillId="5" borderId="10" xfId="0" applyFont="1" applyFill="1" applyBorder="1" applyAlignment="1">
      <alignment vertical="center" wrapText="1"/>
    </xf>
    <xf numFmtId="0" fontId="0" fillId="0" borderId="10" xfId="0" applyBorder="1" applyAlignment="1">
      <alignment vertical="center" wrapText="1"/>
    </xf>
    <xf numFmtId="0" fontId="3" fillId="7" borderId="0" xfId="0" applyFont="1" applyFill="1" applyAlignment="1">
      <alignment horizontal="center" vertical="center"/>
    </xf>
    <xf numFmtId="0" fontId="1" fillId="7" borderId="0" xfId="0" applyFont="1" applyFill="1" applyAlignment="1">
      <alignment horizontal="center" vertical="center"/>
    </xf>
    <xf numFmtId="0" fontId="49" fillId="18" borderId="0" xfId="474" applyFont="1" applyFill="1" applyAlignment="1">
      <alignment horizontal="center" vertical="center" wrapText="1"/>
    </xf>
    <xf numFmtId="49" fontId="4" fillId="6" borderId="11" xfId="474" applyNumberFormat="1" applyFont="1" applyFill="1" applyBorder="1" applyAlignment="1" applyProtection="1">
      <alignment horizontal="left" vertical="center"/>
      <protection locked="0"/>
    </xf>
    <xf numFmtId="49" fontId="4" fillId="6" borderId="8" xfId="474" applyNumberFormat="1" applyFont="1" applyFill="1" applyBorder="1" applyAlignment="1" applyProtection="1">
      <alignment horizontal="left" vertical="center"/>
      <protection locked="0"/>
    </xf>
    <xf numFmtId="49" fontId="4" fillId="6" borderId="9" xfId="474" applyNumberFormat="1" applyFont="1" applyFill="1" applyBorder="1" applyAlignment="1" applyProtection="1">
      <alignment horizontal="left" vertical="center"/>
      <protection locked="0"/>
    </xf>
    <xf numFmtId="0" fontId="18" fillId="0" borderId="0" xfId="0" applyFont="1" applyAlignment="1">
      <alignment horizontal="center" vertical="top" wrapText="1"/>
    </xf>
    <xf numFmtId="0" fontId="4" fillId="6" borderId="11" xfId="474" applyFont="1" applyFill="1" applyBorder="1" applyAlignment="1" applyProtection="1">
      <alignment horizontal="left" vertical="center"/>
      <protection locked="0"/>
    </xf>
    <xf numFmtId="0" fontId="4" fillId="6" borderId="8" xfId="474" applyFont="1" applyFill="1" applyBorder="1" applyAlignment="1" applyProtection="1">
      <alignment horizontal="left" vertical="center"/>
      <protection locked="0"/>
    </xf>
    <xf numFmtId="0" fontId="4" fillId="6" borderId="9" xfId="474" applyFont="1" applyFill="1" applyBorder="1" applyAlignment="1" applyProtection="1">
      <alignment horizontal="left" vertical="center"/>
      <protection locked="0"/>
    </xf>
    <xf numFmtId="0" fontId="48" fillId="18" borderId="0" xfId="0" applyFont="1" applyFill="1" applyAlignment="1">
      <alignment horizontal="center" vertical="center"/>
    </xf>
    <xf numFmtId="0" fontId="4" fillId="0" borderId="0" xfId="474" applyFont="1" applyAlignment="1">
      <alignment horizontal="center" vertical="center" wrapText="1"/>
    </xf>
    <xf numFmtId="0" fontId="3" fillId="17" borderId="0" xfId="0" applyFont="1" applyFill="1" applyAlignment="1">
      <alignment horizontal="left" vertical="top" wrapText="1"/>
    </xf>
    <xf numFmtId="0" fontId="28" fillId="3" borderId="0" xfId="0" applyFont="1" applyFill="1" applyAlignment="1">
      <alignment horizontal="center" vertical="center"/>
    </xf>
    <xf numFmtId="37" fontId="4" fillId="3" borderId="0" xfId="0" applyNumberFormat="1" applyFont="1" applyFill="1" applyAlignment="1">
      <alignment horizontal="center" vertical="center"/>
    </xf>
    <xf numFmtId="0" fontId="4" fillId="3" borderId="0" xfId="0" applyFont="1" applyFill="1" applyAlignment="1">
      <alignment horizontal="center" vertical="center"/>
    </xf>
    <xf numFmtId="0" fontId="0" fillId="0" borderId="0" xfId="0" applyAlignment="1">
      <alignment vertical="center"/>
    </xf>
    <xf numFmtId="0" fontId="7" fillId="7" borderId="3" xfId="0" applyFont="1" applyFill="1" applyBorder="1" applyAlignment="1">
      <alignment horizontal="center" vertical="center" wrapText="1" shrinkToFit="1"/>
    </xf>
    <xf numFmtId="0" fontId="0" fillId="0" borderId="5" xfId="0" applyBorder="1" applyAlignment="1">
      <alignment horizontal="center" vertical="center" wrapText="1"/>
    </xf>
    <xf numFmtId="3" fontId="4" fillId="6" borderId="3" xfId="0" applyNumberFormat="1" applyFont="1" applyFill="1" applyBorder="1" applyAlignment="1" applyProtection="1">
      <alignment horizontal="center" vertical="center"/>
      <protection locked="0"/>
    </xf>
    <xf numFmtId="3" fontId="4" fillId="6" borderId="5" xfId="0" applyNumberFormat="1" applyFont="1" applyFill="1" applyBorder="1" applyAlignment="1" applyProtection="1">
      <alignment horizontal="center" vertical="center"/>
      <protection locked="0"/>
    </xf>
    <xf numFmtId="37" fontId="4" fillId="3" borderId="11" xfId="0" applyNumberFormat="1" applyFont="1" applyFill="1" applyBorder="1" applyAlignment="1">
      <alignment horizontal="left" vertical="center"/>
    </xf>
    <xf numFmtId="37" fontId="4" fillId="3" borderId="9" xfId="0" applyNumberFormat="1" applyFont="1" applyFill="1" applyBorder="1" applyAlignment="1">
      <alignment horizontal="left" vertical="center"/>
    </xf>
    <xf numFmtId="37" fontId="4" fillId="3" borderId="3" xfId="0" applyNumberFormat="1" applyFont="1" applyFill="1" applyBorder="1" applyAlignment="1">
      <alignment horizontal="center" vertical="center" wrapText="1"/>
    </xf>
    <xf numFmtId="37" fontId="4" fillId="3" borderId="4" xfId="0" applyNumberFormat="1" applyFont="1" applyFill="1" applyBorder="1" applyAlignment="1">
      <alignment horizontal="center" vertical="center" wrapText="1"/>
    </xf>
    <xf numFmtId="37" fontId="4" fillId="3" borderId="5" xfId="0" applyNumberFormat="1" applyFont="1" applyFill="1" applyBorder="1" applyAlignment="1">
      <alignment horizontal="center" vertical="center" wrapText="1"/>
    </xf>
    <xf numFmtId="0" fontId="4" fillId="3" borderId="0" xfId="0" applyFont="1" applyFill="1" applyAlignment="1">
      <alignment horizontal="right" vertical="center"/>
    </xf>
    <xf numFmtId="0" fontId="4" fillId="3" borderId="12" xfId="0" applyFont="1" applyFill="1" applyBorder="1" applyAlignment="1">
      <alignment horizontal="right" vertical="center"/>
    </xf>
    <xf numFmtId="37" fontId="3" fillId="3" borderId="0" xfId="0" applyNumberFormat="1" applyFont="1" applyFill="1" applyAlignment="1">
      <alignment horizontal="right" vertical="center"/>
    </xf>
    <xf numFmtId="37" fontId="4" fillId="3" borderId="0" xfId="0" applyNumberFormat="1" applyFont="1" applyFill="1" applyAlignment="1">
      <alignment horizontal="right" vertical="center"/>
    </xf>
    <xf numFmtId="37" fontId="4" fillId="3" borderId="20" xfId="0" applyNumberFormat="1" applyFont="1" applyFill="1" applyBorder="1" applyAlignment="1">
      <alignment horizontal="center" vertical="center"/>
    </xf>
    <xf numFmtId="0" fontId="4" fillId="3" borderId="20" xfId="0" applyFont="1" applyFill="1" applyBorder="1" applyAlignment="1">
      <alignment horizontal="center" vertical="center"/>
    </xf>
    <xf numFmtId="37" fontId="4" fillId="3" borderId="11" xfId="0" applyNumberFormat="1"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 fillId="3" borderId="0" xfId="0" applyFont="1" applyFill="1" applyAlignment="1">
      <alignment horizontal="center" vertical="center"/>
    </xf>
    <xf numFmtId="0" fontId="4" fillId="3" borderId="15" xfId="0" applyFont="1" applyFill="1" applyBorder="1" applyAlignment="1">
      <alignment horizontal="center" vertical="center"/>
    </xf>
    <xf numFmtId="0" fontId="0" fillId="0" borderId="7" xfId="0" applyBorder="1" applyAlignment="1">
      <alignment vertical="center"/>
    </xf>
    <xf numFmtId="1" fontId="4" fillId="3" borderId="15" xfId="0" applyNumberFormat="1" applyFont="1" applyFill="1" applyBorder="1" applyAlignment="1">
      <alignment horizontal="center" vertical="center"/>
    </xf>
    <xf numFmtId="0" fontId="0" fillId="0" borderId="7" xfId="0" applyBorder="1" applyAlignment="1">
      <alignment horizontal="center" vertical="center"/>
    </xf>
    <xf numFmtId="0" fontId="20" fillId="5" borderId="0" xfId="509" applyFont="1" applyFill="1" applyAlignment="1">
      <alignment horizontal="center"/>
    </xf>
    <xf numFmtId="0" fontId="11" fillId="13" borderId="0" xfId="495" applyFont="1" applyFill="1" applyAlignment="1">
      <alignment horizontal="center"/>
    </xf>
    <xf numFmtId="0" fontId="2" fillId="13" borderId="0" xfId="35" applyFill="1" applyAlignment="1">
      <alignment horizontal="center"/>
    </xf>
    <xf numFmtId="0" fontId="3" fillId="13" borderId="0" xfId="35" applyFont="1" applyFill="1" applyAlignment="1">
      <alignment horizontal="center" vertical="center"/>
    </xf>
    <xf numFmtId="0" fontId="11" fillId="13" borderId="0" xfId="35" applyFont="1" applyFill="1" applyAlignment="1">
      <alignment horizontal="center" vertical="center"/>
    </xf>
    <xf numFmtId="0" fontId="4" fillId="13" borderId="0" xfId="35" applyFont="1" applyFill="1" applyAlignment="1">
      <alignment vertical="center" wrapText="1"/>
    </xf>
    <xf numFmtId="0" fontId="34" fillId="13" borderId="14" xfId="51" applyFont="1" applyFill="1" applyBorder="1" applyAlignment="1">
      <alignment horizontal="center" vertical="center"/>
    </xf>
    <xf numFmtId="0" fontId="34" fillId="13" borderId="10" xfId="51" applyFont="1" applyFill="1" applyBorder="1" applyAlignment="1">
      <alignment horizontal="center" vertical="center"/>
    </xf>
    <xf numFmtId="0" fontId="2" fillId="0" borderId="13" xfId="51" applyBorder="1" applyAlignment="1">
      <alignment vertical="center"/>
    </xf>
    <xf numFmtId="3" fontId="4" fillId="3" borderId="10" xfId="56" applyNumberFormat="1" applyFont="1" applyFill="1" applyBorder="1" applyAlignment="1">
      <alignment horizontal="right" vertical="center"/>
    </xf>
    <xf numFmtId="0" fontId="2" fillId="0" borderId="13" xfId="56" applyBorder="1" applyAlignment="1">
      <alignment horizontal="right" vertical="center"/>
    </xf>
    <xf numFmtId="0" fontId="4" fillId="3" borderId="0" xfId="56" applyFont="1" applyFill="1" applyAlignment="1">
      <alignment horizontal="right" vertical="center"/>
    </xf>
    <xf numFmtId="0" fontId="4" fillId="0" borderId="12" xfId="56" applyFont="1" applyBorder="1" applyAlignment="1">
      <alignment horizontal="right" vertical="center"/>
    </xf>
    <xf numFmtId="0" fontId="0" fillId="0" borderId="0" xfId="0" applyAlignment="1">
      <alignment horizontal="right" vertical="center"/>
    </xf>
    <xf numFmtId="0" fontId="0" fillId="0" borderId="10" xfId="0" applyBorder="1" applyAlignment="1">
      <alignment vertical="center"/>
    </xf>
    <xf numFmtId="0" fontId="0" fillId="0" borderId="13" xfId="0" applyBorder="1" applyAlignment="1">
      <alignment vertical="center"/>
    </xf>
    <xf numFmtId="171" fontId="34" fillId="13" borderId="14" xfId="0" applyNumberFormat="1" applyFont="1" applyFill="1" applyBorder="1" applyAlignment="1">
      <alignment horizontal="center" wrapText="1"/>
    </xf>
    <xf numFmtId="171" fontId="34" fillId="13" borderId="10" xfId="0" applyNumberFormat="1" applyFont="1" applyFill="1" applyBorder="1" applyAlignment="1">
      <alignment horizontal="center" wrapText="1"/>
    </xf>
    <xf numFmtId="171" fontId="34" fillId="13" borderId="13" xfId="0" applyNumberFormat="1" applyFont="1" applyFill="1" applyBorder="1" applyAlignment="1">
      <alignment horizontal="center" wrapText="1"/>
    </xf>
    <xf numFmtId="171" fontId="34" fillId="13" borderId="16" xfId="0" applyNumberFormat="1" applyFont="1" applyFill="1" applyBorder="1" applyAlignment="1">
      <alignment horizontal="center" wrapText="1"/>
    </xf>
    <xf numFmtId="171" fontId="34" fillId="13" borderId="0" xfId="0" applyNumberFormat="1" applyFont="1" applyFill="1" applyAlignment="1">
      <alignment horizontal="center" wrapText="1"/>
    </xf>
    <xf numFmtId="171" fontId="34" fillId="13" borderId="12" xfId="0" applyNumberFormat="1" applyFont="1" applyFill="1" applyBorder="1" applyAlignment="1">
      <alignment horizontal="center" wrapText="1"/>
    </xf>
    <xf numFmtId="0" fontId="4" fillId="13" borderId="16" xfId="0" applyFont="1" applyFill="1" applyBorder="1" applyAlignment="1">
      <alignment horizontal="center" vertical="center" wrapText="1"/>
    </xf>
    <xf numFmtId="0" fontId="4" fillId="13" borderId="0" xfId="0" applyFont="1" applyFill="1" applyAlignment="1">
      <alignment horizontal="center" vertical="center" wrapText="1"/>
    </xf>
    <xf numFmtId="0" fontId="4" fillId="13" borderId="15" xfId="0" applyFont="1" applyFill="1" applyBorder="1" applyAlignment="1">
      <alignment horizontal="center" vertical="center" wrapText="1"/>
    </xf>
    <xf numFmtId="0" fontId="4" fillId="13" borderId="2" xfId="0" applyFont="1" applyFill="1" applyBorder="1" applyAlignment="1">
      <alignment horizontal="center" vertical="center" wrapText="1"/>
    </xf>
    <xf numFmtId="49" fontId="50" fillId="13" borderId="12" xfId="0" applyNumberFormat="1" applyFont="1" applyFill="1" applyBorder="1" applyAlignment="1">
      <alignment horizontal="center" vertical="center"/>
    </xf>
    <xf numFmtId="49" fontId="50" fillId="13" borderId="7" xfId="0" applyNumberFormat="1" applyFont="1" applyFill="1" applyBorder="1" applyAlignment="1">
      <alignment horizontal="center" vertical="center"/>
    </xf>
    <xf numFmtId="0" fontId="43" fillId="0" borderId="10" xfId="0" applyFont="1" applyBorder="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34" fillId="13" borderId="14" xfId="0" applyFont="1" applyFill="1" applyBorder="1" applyAlignment="1">
      <alignment horizontal="center" vertical="center"/>
    </xf>
    <xf numFmtId="0" fontId="0" fillId="0" borderId="10" xfId="0" applyBorder="1" applyAlignment="1">
      <alignment horizontal="center" vertical="center"/>
    </xf>
    <xf numFmtId="0" fontId="0" fillId="0" borderId="13" xfId="0" applyBorder="1"/>
    <xf numFmtId="0" fontId="34" fillId="13" borderId="10" xfId="0" applyFont="1" applyFill="1" applyBorder="1" applyAlignment="1">
      <alignment horizontal="center" vertical="center"/>
    </xf>
    <xf numFmtId="0" fontId="34" fillId="13" borderId="13" xfId="0" applyFont="1" applyFill="1" applyBorder="1" applyAlignment="1">
      <alignment horizontal="center" vertical="center"/>
    </xf>
    <xf numFmtId="0" fontId="37" fillId="0" borderId="10" xfId="0" applyFont="1" applyBorder="1" applyAlignment="1">
      <alignment horizontal="center" vertical="center"/>
    </xf>
    <xf numFmtId="0" fontId="4" fillId="3" borderId="0" xfId="13" applyNumberFormat="1" applyFont="1" applyFill="1" applyBorder="1" applyAlignment="1" applyProtection="1">
      <alignment horizontal="right" vertical="center"/>
    </xf>
    <xf numFmtId="0" fontId="4" fillId="0" borderId="0" xfId="13" applyFont="1" applyAlignment="1" applyProtection="1">
      <alignment horizontal="right" vertical="center"/>
    </xf>
    <xf numFmtId="0" fontId="4" fillId="5" borderId="0" xfId="0" applyFont="1" applyFill="1" applyAlignment="1">
      <alignment horizontal="right" vertical="center"/>
    </xf>
    <xf numFmtId="0" fontId="3" fillId="3" borderId="11" xfId="0" applyFont="1" applyFill="1" applyBorder="1" applyAlignment="1">
      <alignment horizontal="center" vertical="center"/>
    </xf>
    <xf numFmtId="0" fontId="3" fillId="3" borderId="9" xfId="0" applyFont="1" applyFill="1" applyBorder="1" applyAlignment="1">
      <alignment horizontal="center" vertical="center"/>
    </xf>
    <xf numFmtId="37" fontId="3" fillId="17" borderId="0" xfId="0" applyNumberFormat="1" applyFont="1" applyFill="1" applyAlignment="1">
      <alignment horizontal="center" vertical="center"/>
    </xf>
    <xf numFmtId="37" fontId="4" fillId="13" borderId="0" xfId="0" applyNumberFormat="1" applyFont="1" applyFill="1" applyAlignment="1">
      <alignment horizontal="center" vertical="center"/>
    </xf>
    <xf numFmtId="0" fontId="11" fillId="13" borderId="14" xfId="51" applyFont="1"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37" fontId="4" fillId="13" borderId="0" xfId="78" applyNumberFormat="1" applyFont="1" applyFill="1" applyAlignment="1">
      <alignment horizontal="center"/>
    </xf>
    <xf numFmtId="37" fontId="4" fillId="3" borderId="2" xfId="0" applyNumberFormat="1" applyFont="1" applyFill="1" applyBorder="1" applyAlignment="1" applyProtection="1">
      <alignment horizontal="center" vertical="center"/>
      <protection locked="0"/>
    </xf>
    <xf numFmtId="0" fontId="2" fillId="0" borderId="10" xfId="51" applyBorder="1" applyAlignment="1">
      <alignment horizontal="center"/>
    </xf>
    <xf numFmtId="0" fontId="2" fillId="0" borderId="13" xfId="51" applyBorder="1" applyAlignment="1">
      <alignment horizontal="center"/>
    </xf>
    <xf numFmtId="0" fontId="11" fillId="13" borderId="10" xfId="51" applyFont="1" applyFill="1" applyBorder="1" applyAlignment="1">
      <alignment horizontal="center"/>
    </xf>
    <xf numFmtId="0" fontId="11" fillId="13" borderId="13" xfId="51" applyFont="1" applyFill="1" applyBorder="1" applyAlignment="1">
      <alignment horizontal="center"/>
    </xf>
    <xf numFmtId="37" fontId="4" fillId="3" borderId="3" xfId="0" applyNumberFormat="1" applyFont="1" applyFill="1" applyBorder="1" applyAlignment="1">
      <alignment horizontal="center"/>
    </xf>
    <xf numFmtId="37" fontId="4" fillId="3" borderId="5" xfId="0" applyNumberFormat="1" applyFont="1" applyFill="1" applyBorder="1" applyAlignment="1">
      <alignment horizontal="center"/>
    </xf>
    <xf numFmtId="37" fontId="4" fillId="3" borderId="3" xfId="0" applyNumberFormat="1" applyFont="1" applyFill="1" applyBorder="1" applyAlignment="1">
      <alignment horizontal="center" wrapText="1"/>
    </xf>
    <xf numFmtId="37" fontId="4" fillId="3" borderId="5" xfId="0" applyNumberFormat="1" applyFont="1" applyFill="1" applyBorder="1" applyAlignment="1">
      <alignment horizontal="center" wrapText="1"/>
    </xf>
    <xf numFmtId="0" fontId="48" fillId="13" borderId="13" xfId="0" applyFont="1" applyFill="1" applyBorder="1" applyAlignment="1">
      <alignment horizontal="center" vertical="center" wrapText="1"/>
    </xf>
    <xf numFmtId="0" fontId="49" fillId="13" borderId="7" xfId="0" applyFont="1" applyFill="1" applyBorder="1" applyAlignment="1">
      <alignment horizontal="center" vertical="center" wrapText="1"/>
    </xf>
    <xf numFmtId="37" fontId="4" fillId="3" borderId="3" xfId="35" applyNumberFormat="1" applyFont="1" applyFill="1" applyBorder="1" applyAlignment="1">
      <alignment horizontal="center" wrapText="1"/>
    </xf>
    <xf numFmtId="37" fontId="4" fillId="3" borderId="5" xfId="35" applyNumberFormat="1" applyFont="1" applyFill="1" applyBorder="1" applyAlignment="1">
      <alignment horizontal="center" wrapText="1"/>
    </xf>
    <xf numFmtId="37" fontId="18" fillId="3" borderId="15" xfId="0" applyNumberFormat="1" applyFont="1" applyFill="1" applyBorder="1" applyAlignment="1">
      <alignment horizontal="right" vertical="center"/>
    </xf>
    <xf numFmtId="37" fontId="18" fillId="3" borderId="2" xfId="0" applyNumberFormat="1" applyFont="1" applyFill="1" applyBorder="1" applyAlignment="1">
      <alignment horizontal="right" vertical="center"/>
    </xf>
    <xf numFmtId="37" fontId="18" fillId="3" borderId="7" xfId="0" applyNumberFormat="1" applyFont="1" applyFill="1" applyBorder="1" applyAlignment="1">
      <alignment horizontal="right" vertical="center"/>
    </xf>
    <xf numFmtId="0" fontId="3" fillId="13" borderId="14" xfId="0" applyFont="1" applyFill="1" applyBorder="1" applyAlignment="1">
      <alignment horizontal="center" wrapText="1"/>
    </xf>
    <xf numFmtId="0" fontId="11" fillId="13" borderId="10" xfId="0" applyFont="1" applyFill="1" applyBorder="1" applyAlignment="1">
      <alignment horizontal="center" wrapText="1"/>
    </xf>
    <xf numFmtId="0" fontId="11" fillId="13" borderId="15" xfId="0" applyFont="1" applyFill="1" applyBorder="1" applyAlignment="1">
      <alignment horizontal="center" wrapText="1"/>
    </xf>
    <xf numFmtId="0" fontId="11" fillId="13" borderId="2" xfId="0" applyFont="1" applyFill="1" applyBorder="1" applyAlignment="1">
      <alignment horizontal="center" wrapText="1"/>
    </xf>
    <xf numFmtId="0" fontId="4" fillId="3" borderId="1" xfId="0" applyFont="1" applyFill="1" applyBorder="1" applyAlignment="1">
      <alignment horizontal="center" vertical="center"/>
    </xf>
    <xf numFmtId="49" fontId="4" fillId="3" borderId="0" xfId="0" applyNumberFormat="1" applyFont="1" applyFill="1" applyAlignment="1" applyProtection="1">
      <alignment horizontal="left" vertical="center"/>
      <protection locked="0"/>
    </xf>
    <xf numFmtId="0" fontId="11" fillId="3" borderId="0" xfId="0" applyFont="1" applyFill="1" applyAlignment="1">
      <alignment horizontal="center" vertical="center"/>
    </xf>
    <xf numFmtId="37" fontId="3" fillId="3" borderId="0" xfId="0" applyNumberFormat="1" applyFont="1" applyFill="1" applyAlignment="1">
      <alignment horizontal="center" vertical="center"/>
    </xf>
    <xf numFmtId="0" fontId="3" fillId="17" borderId="0" xfId="0" applyFont="1" applyFill="1" applyAlignment="1">
      <alignment horizontal="center" vertical="center"/>
    </xf>
    <xf numFmtId="0" fontId="4" fillId="17" borderId="0" xfId="0" applyFont="1" applyFill="1" applyAlignment="1">
      <alignment horizontal="right" vertical="center"/>
    </xf>
    <xf numFmtId="0" fontId="11" fillId="0" borderId="0" xfId="0" applyFont="1" applyAlignment="1">
      <alignment horizontal="center"/>
    </xf>
    <xf numFmtId="0" fontId="3" fillId="0" borderId="0" xfId="0" applyFont="1" applyAlignment="1">
      <alignment horizontal="left" wrapText="1"/>
    </xf>
    <xf numFmtId="0" fontId="4" fillId="0" borderId="0" xfId="0" applyFont="1" applyAlignment="1">
      <alignment horizontal="left" wrapText="1"/>
    </xf>
    <xf numFmtId="0" fontId="4" fillId="0" borderId="0" xfId="0" applyFont="1" applyAlignment="1">
      <alignment horizontal="center"/>
    </xf>
    <xf numFmtId="0" fontId="44" fillId="0" borderId="0" xfId="0" applyFont="1" applyAlignment="1">
      <alignment horizontal="left" vertical="top" wrapText="1"/>
    </xf>
    <xf numFmtId="0" fontId="62" fillId="0" borderId="0" xfId="511" applyFont="1" applyAlignment="1">
      <alignment horizontal="center"/>
    </xf>
    <xf numFmtId="0" fontId="61" fillId="0" borderId="0" xfId="511" applyFont="1" applyAlignment="1">
      <alignment horizontal="center" wrapText="1"/>
    </xf>
    <xf numFmtId="0" fontId="61" fillId="0" borderId="0" xfId="511" applyFont="1" applyAlignment="1">
      <alignment horizontal="center"/>
    </xf>
    <xf numFmtId="0" fontId="63" fillId="20" borderId="11" xfId="511" applyFont="1" applyFill="1" applyBorder="1" applyAlignment="1">
      <alignment horizontal="center" vertical="center"/>
    </xf>
    <xf numFmtId="0" fontId="63" fillId="20" borderId="8" xfId="511" applyFont="1" applyFill="1" applyBorder="1" applyAlignment="1">
      <alignment horizontal="center" vertical="center"/>
    </xf>
    <xf numFmtId="0" fontId="63" fillId="20" borderId="9" xfId="511" applyFont="1" applyFill="1" applyBorder="1" applyAlignment="1">
      <alignment horizontal="center" vertical="center"/>
    </xf>
    <xf numFmtId="0" fontId="61" fillId="0" borderId="1" xfId="511" applyFont="1" applyBorder="1" applyAlignment="1">
      <alignment horizontal="center"/>
    </xf>
    <xf numFmtId="0" fontId="61" fillId="0" borderId="10" xfId="511" applyFont="1" applyBorder="1" applyAlignment="1">
      <alignment horizontal="center"/>
    </xf>
    <xf numFmtId="0" fontId="61" fillId="0" borderId="11" xfId="511" applyFont="1" applyBorder="1" applyAlignment="1">
      <alignment horizontal="center"/>
    </xf>
    <xf numFmtId="0" fontId="61" fillId="0" borderId="8" xfId="511" applyFont="1" applyBorder="1" applyAlignment="1">
      <alignment horizontal="center"/>
    </xf>
    <xf numFmtId="0" fontId="61" fillId="0" borderId="9" xfId="511" applyFont="1" applyBorder="1" applyAlignment="1">
      <alignment horizontal="center"/>
    </xf>
    <xf numFmtId="0" fontId="61" fillId="0" borderId="6" xfId="511" applyFont="1" applyBorder="1" applyAlignment="1">
      <alignment horizontal="center"/>
    </xf>
    <xf numFmtId="0" fontId="64" fillId="0" borderId="5" xfId="511" applyFont="1" applyBorder="1" applyAlignment="1">
      <alignment horizontal="center" vertical="center"/>
    </xf>
    <xf numFmtId="0" fontId="61" fillId="0" borderId="2" xfId="511" applyFont="1" applyBorder="1" applyAlignment="1">
      <alignment horizontal="center" wrapText="1"/>
    </xf>
    <xf numFmtId="0" fontId="3" fillId="0" borderId="0" xfId="0" applyFont="1" applyAlignment="1">
      <alignment wrapText="1"/>
    </xf>
    <xf numFmtId="0" fontId="4" fillId="0" borderId="0" xfId="0" applyFont="1" applyAlignment="1">
      <alignment wrapText="1"/>
    </xf>
    <xf numFmtId="0" fontId="51" fillId="0" borderId="0" xfId="0" quotePrefix="1" applyFont="1" applyAlignment="1">
      <alignment horizontal="center" vertical="center"/>
    </xf>
    <xf numFmtId="0" fontId="51" fillId="0" borderId="0" xfId="0" applyFont="1" applyAlignment="1">
      <alignment horizontal="center" vertical="center"/>
    </xf>
    <xf numFmtId="0" fontId="48" fillId="0" borderId="0" xfId="0" applyFont="1" applyAlignment="1">
      <alignment horizontal="center" vertical="center"/>
    </xf>
    <xf numFmtId="0" fontId="59" fillId="0" borderId="0" xfId="0" applyFont="1" applyAlignment="1">
      <alignment horizontal="center" wrapText="1"/>
    </xf>
  </cellXfs>
  <cellStyles count="513">
    <cellStyle name="Comma" xfId="1" builtinId="3"/>
    <cellStyle name="Comma 11 2" xfId="2" xr:uid="{00000000-0005-0000-0000-000001000000}"/>
    <cellStyle name="Comma 16" xfId="3" xr:uid="{00000000-0005-0000-0000-000002000000}"/>
    <cellStyle name="Comma 16 2" xfId="4" xr:uid="{00000000-0005-0000-0000-000003000000}"/>
    <cellStyle name="Comma 16 3" xfId="5" xr:uid="{00000000-0005-0000-0000-000004000000}"/>
    <cellStyle name="Comma 2 2" xfId="6" xr:uid="{00000000-0005-0000-0000-000005000000}"/>
    <cellStyle name="Comma 3 2" xfId="7" xr:uid="{00000000-0005-0000-0000-000006000000}"/>
    <cellStyle name="Comma 3 3" xfId="8" xr:uid="{00000000-0005-0000-0000-000007000000}"/>
    <cellStyle name="Comma 4 2" xfId="9" xr:uid="{00000000-0005-0000-0000-000008000000}"/>
    <cellStyle name="Comma 6 2" xfId="10" xr:uid="{00000000-0005-0000-0000-000009000000}"/>
    <cellStyle name="Comma 7 2" xfId="11" xr:uid="{00000000-0005-0000-0000-00000A000000}"/>
    <cellStyle name="Comma 7 3" xfId="12" xr:uid="{00000000-0005-0000-0000-00000B000000}"/>
    <cellStyle name="Currency" xfId="512" builtinId="4"/>
    <cellStyle name="Hyperlink" xfId="13" builtinId="8"/>
    <cellStyle name="Hyperlink 2 2" xfId="14" xr:uid="{00000000-0005-0000-0000-00000D000000}"/>
    <cellStyle name="Hyperlink 2 3" xfId="15" xr:uid="{00000000-0005-0000-0000-00000E000000}"/>
    <cellStyle name="Hyperlink 3" xfId="16" xr:uid="{00000000-0005-0000-0000-00000F000000}"/>
    <cellStyle name="Hyperlink 3 2" xfId="17" xr:uid="{00000000-0005-0000-0000-000010000000}"/>
    <cellStyle name="Hyperlink 3 3" xfId="18" xr:uid="{00000000-0005-0000-0000-000011000000}"/>
    <cellStyle name="Hyperlink 3 4" xfId="19" xr:uid="{00000000-0005-0000-0000-000012000000}"/>
    <cellStyle name="Hyperlink 4" xfId="20" xr:uid="{00000000-0005-0000-0000-000013000000}"/>
    <cellStyle name="Hyperlink 4 2" xfId="21" xr:uid="{00000000-0005-0000-0000-000014000000}"/>
    <cellStyle name="Hyperlink 7" xfId="22" xr:uid="{00000000-0005-0000-0000-000015000000}"/>
    <cellStyle name="Hyperlink 7 2" xfId="23" xr:uid="{00000000-0005-0000-0000-000016000000}"/>
    <cellStyle name="Hyperlink 7 3" xfId="24" xr:uid="{00000000-0005-0000-0000-000017000000}"/>
    <cellStyle name="Hyperlink 8" xfId="25" xr:uid="{00000000-0005-0000-0000-000018000000}"/>
    <cellStyle name="Hyperlink 8 2" xfId="26" xr:uid="{00000000-0005-0000-0000-000019000000}"/>
    <cellStyle name="Normal" xfId="0" builtinId="0"/>
    <cellStyle name="Normal 10" xfId="27" xr:uid="{00000000-0005-0000-0000-00001B000000}"/>
    <cellStyle name="Normal 10 2" xfId="28" xr:uid="{00000000-0005-0000-0000-00001C000000}"/>
    <cellStyle name="Normal 10 2 2" xfId="29" xr:uid="{00000000-0005-0000-0000-00001D000000}"/>
    <cellStyle name="Normal 10 2 2 2" xfId="30" xr:uid="{00000000-0005-0000-0000-00001E000000}"/>
    <cellStyle name="Normal 10 2 2 3" xfId="31" xr:uid="{00000000-0005-0000-0000-00001F000000}"/>
    <cellStyle name="Normal 10 2 3" xfId="32" xr:uid="{00000000-0005-0000-0000-000020000000}"/>
    <cellStyle name="Normal 10 3" xfId="33" xr:uid="{00000000-0005-0000-0000-000021000000}"/>
    <cellStyle name="Normal 10 4" xfId="34" xr:uid="{00000000-0005-0000-0000-000022000000}"/>
    <cellStyle name="Normal 10 5" xfId="35" xr:uid="{00000000-0005-0000-0000-000023000000}"/>
    <cellStyle name="Normal 10 5 2" xfId="36" xr:uid="{00000000-0005-0000-0000-000024000000}"/>
    <cellStyle name="Normal 10 5 3" xfId="37" xr:uid="{00000000-0005-0000-0000-000025000000}"/>
    <cellStyle name="Normal 10 6" xfId="38" xr:uid="{00000000-0005-0000-0000-000026000000}"/>
    <cellStyle name="Normal 10 7" xfId="39" xr:uid="{00000000-0005-0000-0000-000027000000}"/>
    <cellStyle name="Normal 11" xfId="40" xr:uid="{00000000-0005-0000-0000-000028000000}"/>
    <cellStyle name="Normal 11 2" xfId="41" xr:uid="{00000000-0005-0000-0000-000029000000}"/>
    <cellStyle name="Normal 11 2 2" xfId="42" xr:uid="{00000000-0005-0000-0000-00002A000000}"/>
    <cellStyle name="Normal 11 2 3" xfId="43" xr:uid="{00000000-0005-0000-0000-00002B000000}"/>
    <cellStyle name="Normal 11 3" xfId="44" xr:uid="{00000000-0005-0000-0000-00002C000000}"/>
    <cellStyle name="Normal 11 4" xfId="45" xr:uid="{00000000-0005-0000-0000-00002D000000}"/>
    <cellStyle name="Normal 11 5" xfId="46" xr:uid="{00000000-0005-0000-0000-00002E000000}"/>
    <cellStyle name="Normal 11 5 2" xfId="47" xr:uid="{00000000-0005-0000-0000-00002F000000}"/>
    <cellStyle name="Normal 11 5 3" xfId="48" xr:uid="{00000000-0005-0000-0000-000030000000}"/>
    <cellStyle name="Normal 11 6" xfId="49" xr:uid="{00000000-0005-0000-0000-000031000000}"/>
    <cellStyle name="Normal 12" xfId="50" xr:uid="{00000000-0005-0000-0000-000032000000}"/>
    <cellStyle name="Normal 12 10" xfId="51" xr:uid="{00000000-0005-0000-0000-000033000000}"/>
    <cellStyle name="Normal 12 11" xfId="52" xr:uid="{00000000-0005-0000-0000-000034000000}"/>
    <cellStyle name="Normal 12 12" xfId="53" xr:uid="{00000000-0005-0000-0000-000035000000}"/>
    <cellStyle name="Normal 12 13" xfId="54" xr:uid="{00000000-0005-0000-0000-000036000000}"/>
    <cellStyle name="Normal 12 2" xfId="55" xr:uid="{00000000-0005-0000-0000-000037000000}"/>
    <cellStyle name="Normal 12 2 2" xfId="56" xr:uid="{00000000-0005-0000-0000-000038000000}"/>
    <cellStyle name="Normal 12 3" xfId="57" xr:uid="{00000000-0005-0000-0000-000039000000}"/>
    <cellStyle name="Normal 12 4" xfId="58" xr:uid="{00000000-0005-0000-0000-00003A000000}"/>
    <cellStyle name="Normal 12 5" xfId="59" xr:uid="{00000000-0005-0000-0000-00003B000000}"/>
    <cellStyle name="Normal 12 6" xfId="60" xr:uid="{00000000-0005-0000-0000-00003C000000}"/>
    <cellStyle name="Normal 12 7" xfId="61" xr:uid="{00000000-0005-0000-0000-00003D000000}"/>
    <cellStyle name="Normal 12 8" xfId="62" xr:uid="{00000000-0005-0000-0000-00003E000000}"/>
    <cellStyle name="Normal 12 9" xfId="63" xr:uid="{00000000-0005-0000-0000-00003F000000}"/>
    <cellStyle name="Normal 13" xfId="64" xr:uid="{00000000-0005-0000-0000-000040000000}"/>
    <cellStyle name="Normal 13 10" xfId="65" xr:uid="{00000000-0005-0000-0000-000041000000}"/>
    <cellStyle name="Normal 13 11" xfId="66" xr:uid="{00000000-0005-0000-0000-000042000000}"/>
    <cellStyle name="Normal 13 12" xfId="67" xr:uid="{00000000-0005-0000-0000-000043000000}"/>
    <cellStyle name="Normal 13 13" xfId="68" xr:uid="{00000000-0005-0000-0000-000044000000}"/>
    <cellStyle name="Normal 13 2" xfId="69" xr:uid="{00000000-0005-0000-0000-000045000000}"/>
    <cellStyle name="Normal 13 2 2" xfId="70" xr:uid="{00000000-0005-0000-0000-000046000000}"/>
    <cellStyle name="Normal 13 3" xfId="71" xr:uid="{00000000-0005-0000-0000-000047000000}"/>
    <cellStyle name="Normal 13 4" xfId="72" xr:uid="{00000000-0005-0000-0000-000048000000}"/>
    <cellStyle name="Normal 13 5" xfId="73" xr:uid="{00000000-0005-0000-0000-000049000000}"/>
    <cellStyle name="Normal 13 6" xfId="74" xr:uid="{00000000-0005-0000-0000-00004A000000}"/>
    <cellStyle name="Normal 13 7" xfId="75" xr:uid="{00000000-0005-0000-0000-00004B000000}"/>
    <cellStyle name="Normal 13 8" xfId="76" xr:uid="{00000000-0005-0000-0000-00004C000000}"/>
    <cellStyle name="Normal 13 9" xfId="77" xr:uid="{00000000-0005-0000-0000-00004D000000}"/>
    <cellStyle name="Normal 14" xfId="78" xr:uid="{00000000-0005-0000-0000-00004E000000}"/>
    <cellStyle name="Normal 14 2" xfId="79" xr:uid="{00000000-0005-0000-0000-00004F000000}"/>
    <cellStyle name="Normal 14 3" xfId="80" xr:uid="{00000000-0005-0000-0000-000050000000}"/>
    <cellStyle name="Normal 14 4" xfId="81" xr:uid="{00000000-0005-0000-0000-000051000000}"/>
    <cellStyle name="Normal 14 5" xfId="82" xr:uid="{00000000-0005-0000-0000-000052000000}"/>
    <cellStyle name="Normal 14 6" xfId="83" xr:uid="{00000000-0005-0000-0000-000053000000}"/>
    <cellStyle name="Normal 14 7" xfId="84" xr:uid="{00000000-0005-0000-0000-000054000000}"/>
    <cellStyle name="Normal 15" xfId="85" xr:uid="{00000000-0005-0000-0000-000055000000}"/>
    <cellStyle name="Normal 15 2" xfId="86" xr:uid="{00000000-0005-0000-0000-000056000000}"/>
    <cellStyle name="Normal 15 3" xfId="87" xr:uid="{00000000-0005-0000-0000-000057000000}"/>
    <cellStyle name="Normal 15 4" xfId="88" xr:uid="{00000000-0005-0000-0000-000058000000}"/>
    <cellStyle name="Normal 15 5" xfId="89" xr:uid="{00000000-0005-0000-0000-000059000000}"/>
    <cellStyle name="Normal 16" xfId="90" xr:uid="{00000000-0005-0000-0000-00005A000000}"/>
    <cellStyle name="Normal 16 2" xfId="91" xr:uid="{00000000-0005-0000-0000-00005B000000}"/>
    <cellStyle name="Normal 16 3" xfId="92" xr:uid="{00000000-0005-0000-0000-00005C000000}"/>
    <cellStyle name="Normal 16 4" xfId="93" xr:uid="{00000000-0005-0000-0000-00005D000000}"/>
    <cellStyle name="Normal 16 5" xfId="94" xr:uid="{00000000-0005-0000-0000-00005E000000}"/>
    <cellStyle name="Normal 17" xfId="95" xr:uid="{00000000-0005-0000-0000-00005F000000}"/>
    <cellStyle name="Normal 17 2" xfId="96" xr:uid="{00000000-0005-0000-0000-000060000000}"/>
    <cellStyle name="Normal 17 3" xfId="97" xr:uid="{00000000-0005-0000-0000-000061000000}"/>
    <cellStyle name="Normal 17 4" xfId="98" xr:uid="{00000000-0005-0000-0000-000062000000}"/>
    <cellStyle name="Normal 17 5" xfId="99" xr:uid="{00000000-0005-0000-0000-000063000000}"/>
    <cellStyle name="Normal 18" xfId="100" xr:uid="{00000000-0005-0000-0000-000064000000}"/>
    <cellStyle name="Normal 18 2" xfId="101" xr:uid="{00000000-0005-0000-0000-000065000000}"/>
    <cellStyle name="Normal 18 2 2" xfId="102" xr:uid="{00000000-0005-0000-0000-000066000000}"/>
    <cellStyle name="Normal 18 2 3" xfId="103" xr:uid="{00000000-0005-0000-0000-000067000000}"/>
    <cellStyle name="Normal 18 3" xfId="104" xr:uid="{00000000-0005-0000-0000-000068000000}"/>
    <cellStyle name="Normal 18 4" xfId="105" xr:uid="{00000000-0005-0000-0000-000069000000}"/>
    <cellStyle name="Normal 18 5" xfId="106" xr:uid="{00000000-0005-0000-0000-00006A000000}"/>
    <cellStyle name="Normal 18 6" xfId="107" xr:uid="{00000000-0005-0000-0000-00006B000000}"/>
    <cellStyle name="Normal 18 7" xfId="108" xr:uid="{00000000-0005-0000-0000-00006C000000}"/>
    <cellStyle name="Normal 18 8" xfId="109" xr:uid="{00000000-0005-0000-0000-00006D000000}"/>
    <cellStyle name="Normal 18 9" xfId="110" xr:uid="{00000000-0005-0000-0000-00006E000000}"/>
    <cellStyle name="Normal 19" xfId="111" xr:uid="{00000000-0005-0000-0000-00006F000000}"/>
    <cellStyle name="Normal 19 2" xfId="112" xr:uid="{00000000-0005-0000-0000-000070000000}"/>
    <cellStyle name="Normal 19 2 2" xfId="113" xr:uid="{00000000-0005-0000-0000-000071000000}"/>
    <cellStyle name="Normal 19 2 3" xfId="114" xr:uid="{00000000-0005-0000-0000-000072000000}"/>
    <cellStyle name="Normal 19 3" xfId="115" xr:uid="{00000000-0005-0000-0000-000073000000}"/>
    <cellStyle name="Normal 19 4" xfId="116" xr:uid="{00000000-0005-0000-0000-000074000000}"/>
    <cellStyle name="Normal 19 5" xfId="117" xr:uid="{00000000-0005-0000-0000-000075000000}"/>
    <cellStyle name="Normal 19 6" xfId="118" xr:uid="{00000000-0005-0000-0000-000076000000}"/>
    <cellStyle name="Normal 19 7" xfId="119" xr:uid="{00000000-0005-0000-0000-000077000000}"/>
    <cellStyle name="Normal 19 8" xfId="120" xr:uid="{00000000-0005-0000-0000-000078000000}"/>
    <cellStyle name="Normal 2" xfId="121" xr:uid="{00000000-0005-0000-0000-000079000000}"/>
    <cellStyle name="Normal 2 10" xfId="122" xr:uid="{00000000-0005-0000-0000-00007A000000}"/>
    <cellStyle name="Normal 2 10 10" xfId="123" xr:uid="{00000000-0005-0000-0000-00007B000000}"/>
    <cellStyle name="Normal 2 10 11" xfId="124" xr:uid="{00000000-0005-0000-0000-00007C000000}"/>
    <cellStyle name="Normal 2 10 11 2" xfId="125" xr:uid="{00000000-0005-0000-0000-00007D000000}"/>
    <cellStyle name="Normal 2 10 11 2 2" xfId="126" xr:uid="{00000000-0005-0000-0000-00007E000000}"/>
    <cellStyle name="Normal 2 10 11 2 2 2" xfId="127" xr:uid="{00000000-0005-0000-0000-00007F000000}"/>
    <cellStyle name="Normal 2 10 11 2 2 3" xfId="128" xr:uid="{00000000-0005-0000-0000-000080000000}"/>
    <cellStyle name="Normal 2 10 11 3" xfId="129" xr:uid="{00000000-0005-0000-0000-000081000000}"/>
    <cellStyle name="Normal 2 10 11 4" xfId="130" xr:uid="{00000000-0005-0000-0000-000082000000}"/>
    <cellStyle name="Normal 2 10 11 5" xfId="131" xr:uid="{00000000-0005-0000-0000-000083000000}"/>
    <cellStyle name="Normal 2 10 12" xfId="132" xr:uid="{00000000-0005-0000-0000-000084000000}"/>
    <cellStyle name="Normal 2 10 2" xfId="133" xr:uid="{00000000-0005-0000-0000-000085000000}"/>
    <cellStyle name="Normal 2 10 2 2" xfId="134" xr:uid="{00000000-0005-0000-0000-000086000000}"/>
    <cellStyle name="Normal 2 10 3" xfId="135" xr:uid="{00000000-0005-0000-0000-000087000000}"/>
    <cellStyle name="Normal 2 10 3 2" xfId="136" xr:uid="{00000000-0005-0000-0000-000088000000}"/>
    <cellStyle name="Normal 2 10 4" xfId="137" xr:uid="{00000000-0005-0000-0000-000089000000}"/>
    <cellStyle name="Normal 2 10 4 2" xfId="138" xr:uid="{00000000-0005-0000-0000-00008A000000}"/>
    <cellStyle name="Normal 2 10 5" xfId="139" xr:uid="{00000000-0005-0000-0000-00008B000000}"/>
    <cellStyle name="Normal 2 10 5 2" xfId="140" xr:uid="{00000000-0005-0000-0000-00008C000000}"/>
    <cellStyle name="Normal 2 10 6" xfId="141" xr:uid="{00000000-0005-0000-0000-00008D000000}"/>
    <cellStyle name="Normal 2 10 6 2" xfId="142" xr:uid="{00000000-0005-0000-0000-00008E000000}"/>
    <cellStyle name="Normal 2 10 7" xfId="143" xr:uid="{00000000-0005-0000-0000-00008F000000}"/>
    <cellStyle name="Normal 2 10 7 2" xfId="144" xr:uid="{00000000-0005-0000-0000-000090000000}"/>
    <cellStyle name="Normal 2 10 8" xfId="145" xr:uid="{00000000-0005-0000-0000-000091000000}"/>
    <cellStyle name="Normal 2 10 8 2" xfId="146" xr:uid="{00000000-0005-0000-0000-000092000000}"/>
    <cellStyle name="Normal 2 10 9" xfId="147" xr:uid="{00000000-0005-0000-0000-000093000000}"/>
    <cellStyle name="Normal 2 11" xfId="148" xr:uid="{00000000-0005-0000-0000-000094000000}"/>
    <cellStyle name="Normal 2 11 10" xfId="149" xr:uid="{00000000-0005-0000-0000-000095000000}"/>
    <cellStyle name="Normal 2 11 11" xfId="150" xr:uid="{00000000-0005-0000-0000-000096000000}"/>
    <cellStyle name="Normal 2 11 2" xfId="151" xr:uid="{00000000-0005-0000-0000-000097000000}"/>
    <cellStyle name="Normal 2 11 2 2" xfId="152" xr:uid="{00000000-0005-0000-0000-000098000000}"/>
    <cellStyle name="Normal 2 11 3" xfId="153" xr:uid="{00000000-0005-0000-0000-000099000000}"/>
    <cellStyle name="Normal 2 11 3 2" xfId="154" xr:uid="{00000000-0005-0000-0000-00009A000000}"/>
    <cellStyle name="Normal 2 11 4" xfId="155" xr:uid="{00000000-0005-0000-0000-00009B000000}"/>
    <cellStyle name="Normal 2 11 4 2" xfId="156" xr:uid="{00000000-0005-0000-0000-00009C000000}"/>
    <cellStyle name="Normal 2 11 5" xfId="157" xr:uid="{00000000-0005-0000-0000-00009D000000}"/>
    <cellStyle name="Normal 2 11 5 2" xfId="158" xr:uid="{00000000-0005-0000-0000-00009E000000}"/>
    <cellStyle name="Normal 2 11 6" xfId="159" xr:uid="{00000000-0005-0000-0000-00009F000000}"/>
    <cellStyle name="Normal 2 11 6 2" xfId="160" xr:uid="{00000000-0005-0000-0000-0000A0000000}"/>
    <cellStyle name="Normal 2 11 7" xfId="161" xr:uid="{00000000-0005-0000-0000-0000A1000000}"/>
    <cellStyle name="Normal 2 11 7 2" xfId="162" xr:uid="{00000000-0005-0000-0000-0000A2000000}"/>
    <cellStyle name="Normal 2 11 8" xfId="163" xr:uid="{00000000-0005-0000-0000-0000A3000000}"/>
    <cellStyle name="Normal 2 11 8 2" xfId="164" xr:uid="{00000000-0005-0000-0000-0000A4000000}"/>
    <cellStyle name="Normal 2 11 9" xfId="165" xr:uid="{00000000-0005-0000-0000-0000A5000000}"/>
    <cellStyle name="Normal 2 12" xfId="166" xr:uid="{00000000-0005-0000-0000-0000A6000000}"/>
    <cellStyle name="Normal 2 13" xfId="167" xr:uid="{00000000-0005-0000-0000-0000A7000000}"/>
    <cellStyle name="Normal 2 14" xfId="168" xr:uid="{00000000-0005-0000-0000-0000A8000000}"/>
    <cellStyle name="Normal 2 15" xfId="169" xr:uid="{00000000-0005-0000-0000-0000A9000000}"/>
    <cellStyle name="Normal 2 16" xfId="170" xr:uid="{00000000-0005-0000-0000-0000AA000000}"/>
    <cellStyle name="Normal 2 17" xfId="171" xr:uid="{00000000-0005-0000-0000-0000AB000000}"/>
    <cellStyle name="Normal 2 17 2" xfId="172" xr:uid="{00000000-0005-0000-0000-0000AC000000}"/>
    <cellStyle name="Normal 2 17 3" xfId="173" xr:uid="{00000000-0005-0000-0000-0000AD000000}"/>
    <cellStyle name="Normal 2 2" xfId="174" xr:uid="{00000000-0005-0000-0000-0000AE000000}"/>
    <cellStyle name="Normal 2 2 10" xfId="175" xr:uid="{00000000-0005-0000-0000-0000AF000000}"/>
    <cellStyle name="Normal 2 2 10 2" xfId="176" xr:uid="{00000000-0005-0000-0000-0000B0000000}"/>
    <cellStyle name="Normal 2 2 11" xfId="177" xr:uid="{00000000-0005-0000-0000-0000B1000000}"/>
    <cellStyle name="Normal 2 2 11 2" xfId="178" xr:uid="{00000000-0005-0000-0000-0000B2000000}"/>
    <cellStyle name="Normal 2 2 12" xfId="179" xr:uid="{00000000-0005-0000-0000-0000B3000000}"/>
    <cellStyle name="Normal 2 2 12 2" xfId="180" xr:uid="{00000000-0005-0000-0000-0000B4000000}"/>
    <cellStyle name="Normal 2 2 12 2 2" xfId="181" xr:uid="{00000000-0005-0000-0000-0000B5000000}"/>
    <cellStyle name="Normal 2 2 12 2 3" xfId="182" xr:uid="{00000000-0005-0000-0000-0000B6000000}"/>
    <cellStyle name="Normal 2 2 12 2 4" xfId="183" xr:uid="{00000000-0005-0000-0000-0000B7000000}"/>
    <cellStyle name="Normal 2 2 12 3" xfId="184" xr:uid="{00000000-0005-0000-0000-0000B8000000}"/>
    <cellStyle name="Normal 2 2 12 4" xfId="185" xr:uid="{00000000-0005-0000-0000-0000B9000000}"/>
    <cellStyle name="Normal 2 2 13" xfId="186" xr:uid="{00000000-0005-0000-0000-0000BA000000}"/>
    <cellStyle name="Normal 2 2 13 2" xfId="187" xr:uid="{00000000-0005-0000-0000-0000BB000000}"/>
    <cellStyle name="Normal 2 2 13 2 2" xfId="188" xr:uid="{00000000-0005-0000-0000-0000BC000000}"/>
    <cellStyle name="Normal 2 2 13 2 3" xfId="189" xr:uid="{00000000-0005-0000-0000-0000BD000000}"/>
    <cellStyle name="Normal 2 2 13 2 4" xfId="190" xr:uid="{00000000-0005-0000-0000-0000BE000000}"/>
    <cellStyle name="Normal 2 2 13 3" xfId="191" xr:uid="{00000000-0005-0000-0000-0000BF000000}"/>
    <cellStyle name="Normal 2 2 13 4" xfId="192" xr:uid="{00000000-0005-0000-0000-0000C0000000}"/>
    <cellStyle name="Normal 2 2 14" xfId="193" xr:uid="{00000000-0005-0000-0000-0000C1000000}"/>
    <cellStyle name="Normal 2 2 14 2" xfId="194" xr:uid="{00000000-0005-0000-0000-0000C2000000}"/>
    <cellStyle name="Normal 2 2 15" xfId="195" xr:uid="{00000000-0005-0000-0000-0000C3000000}"/>
    <cellStyle name="Normal 2 2 15 2" xfId="196" xr:uid="{00000000-0005-0000-0000-0000C4000000}"/>
    <cellStyle name="Normal 2 2 16" xfId="197" xr:uid="{00000000-0005-0000-0000-0000C5000000}"/>
    <cellStyle name="Normal 2 2 16 2" xfId="198" xr:uid="{00000000-0005-0000-0000-0000C6000000}"/>
    <cellStyle name="Normal 2 2 16 3" xfId="199" xr:uid="{00000000-0005-0000-0000-0000C7000000}"/>
    <cellStyle name="Normal 2 2 17" xfId="200" xr:uid="{00000000-0005-0000-0000-0000C8000000}"/>
    <cellStyle name="Normal 2 2 18" xfId="201" xr:uid="{00000000-0005-0000-0000-0000C9000000}"/>
    <cellStyle name="Normal 2 2 19" xfId="202" xr:uid="{00000000-0005-0000-0000-0000CA000000}"/>
    <cellStyle name="Normal 2 2 2" xfId="203" xr:uid="{00000000-0005-0000-0000-0000CB000000}"/>
    <cellStyle name="Normal 2 2 2 2" xfId="204" xr:uid="{00000000-0005-0000-0000-0000CC000000}"/>
    <cellStyle name="Normal 2 2 2 2 2" xfId="205" xr:uid="{00000000-0005-0000-0000-0000CD000000}"/>
    <cellStyle name="Normal 2 2 2 2 3" xfId="206" xr:uid="{00000000-0005-0000-0000-0000CE000000}"/>
    <cellStyle name="Normal 2 2 2 2 3 2" xfId="207" xr:uid="{00000000-0005-0000-0000-0000CF000000}"/>
    <cellStyle name="Normal 2 2 2 2 3 3" xfId="208" xr:uid="{00000000-0005-0000-0000-0000D0000000}"/>
    <cellStyle name="Normal 2 2 2 3" xfId="209" xr:uid="{00000000-0005-0000-0000-0000D1000000}"/>
    <cellStyle name="Normal 2 2 2 3 2" xfId="210" xr:uid="{00000000-0005-0000-0000-0000D2000000}"/>
    <cellStyle name="Normal 2 2 2 3 3" xfId="211" xr:uid="{00000000-0005-0000-0000-0000D3000000}"/>
    <cellStyle name="Normal 2 2 2 3 4" xfId="212" xr:uid="{00000000-0005-0000-0000-0000D4000000}"/>
    <cellStyle name="Normal 2 2 2 4" xfId="213" xr:uid="{00000000-0005-0000-0000-0000D5000000}"/>
    <cellStyle name="Normal 2 2 2 4 2" xfId="214" xr:uid="{00000000-0005-0000-0000-0000D6000000}"/>
    <cellStyle name="Normal 2 2 2 5" xfId="215" xr:uid="{00000000-0005-0000-0000-0000D7000000}"/>
    <cellStyle name="Normal 2 2 2 5 2" xfId="216" xr:uid="{00000000-0005-0000-0000-0000D8000000}"/>
    <cellStyle name="Normal 2 2 2 5 3" xfId="217" xr:uid="{00000000-0005-0000-0000-0000D9000000}"/>
    <cellStyle name="Normal 2 2 2 5 4" xfId="218" xr:uid="{00000000-0005-0000-0000-0000DA000000}"/>
    <cellStyle name="Normal 2 2 2 6" xfId="219" xr:uid="{00000000-0005-0000-0000-0000DB000000}"/>
    <cellStyle name="Normal 2 2 2 6 2" xfId="220" xr:uid="{00000000-0005-0000-0000-0000DC000000}"/>
    <cellStyle name="Normal 2 2 2 7" xfId="221" xr:uid="{00000000-0005-0000-0000-0000DD000000}"/>
    <cellStyle name="Normal 2 2 2 7 2" xfId="222" xr:uid="{00000000-0005-0000-0000-0000DE000000}"/>
    <cellStyle name="Normal 2 2 2 7 3" xfId="223" xr:uid="{00000000-0005-0000-0000-0000DF000000}"/>
    <cellStyle name="Normal 2 2 2 8" xfId="224" xr:uid="{00000000-0005-0000-0000-0000E0000000}"/>
    <cellStyle name="Normal 2 2 20" xfId="225" xr:uid="{00000000-0005-0000-0000-0000E1000000}"/>
    <cellStyle name="Normal 2 2 21" xfId="226" xr:uid="{00000000-0005-0000-0000-0000E2000000}"/>
    <cellStyle name="Normal 2 2 22" xfId="227" xr:uid="{00000000-0005-0000-0000-0000E3000000}"/>
    <cellStyle name="Normal 2 2 3" xfId="228" xr:uid="{00000000-0005-0000-0000-0000E4000000}"/>
    <cellStyle name="Normal 2 2 3 2" xfId="229" xr:uid="{00000000-0005-0000-0000-0000E5000000}"/>
    <cellStyle name="Normal 2 2 4" xfId="230" xr:uid="{00000000-0005-0000-0000-0000E6000000}"/>
    <cellStyle name="Normal 2 2 4 2" xfId="231" xr:uid="{00000000-0005-0000-0000-0000E7000000}"/>
    <cellStyle name="Normal 2 2 5" xfId="232" xr:uid="{00000000-0005-0000-0000-0000E8000000}"/>
    <cellStyle name="Normal 2 2 5 2" xfId="233" xr:uid="{00000000-0005-0000-0000-0000E9000000}"/>
    <cellStyle name="Normal 2 2 6" xfId="234" xr:uid="{00000000-0005-0000-0000-0000EA000000}"/>
    <cellStyle name="Normal 2 2 6 2" xfId="235" xr:uid="{00000000-0005-0000-0000-0000EB000000}"/>
    <cellStyle name="Normal 2 2 7" xfId="236" xr:uid="{00000000-0005-0000-0000-0000EC000000}"/>
    <cellStyle name="Normal 2 2 7 2" xfId="237" xr:uid="{00000000-0005-0000-0000-0000ED000000}"/>
    <cellStyle name="Normal 2 2 8" xfId="238" xr:uid="{00000000-0005-0000-0000-0000EE000000}"/>
    <cellStyle name="Normal 2 2 8 2" xfId="239" xr:uid="{00000000-0005-0000-0000-0000EF000000}"/>
    <cellStyle name="Normal 2 2 9" xfId="240" xr:uid="{00000000-0005-0000-0000-0000F0000000}"/>
    <cellStyle name="Normal 2 2 9 2" xfId="241" xr:uid="{00000000-0005-0000-0000-0000F1000000}"/>
    <cellStyle name="Normal 2 3" xfId="242" xr:uid="{00000000-0005-0000-0000-0000F2000000}"/>
    <cellStyle name="Normal 2 3 10" xfId="243" xr:uid="{00000000-0005-0000-0000-0000F3000000}"/>
    <cellStyle name="Normal 2 3 11" xfId="244" xr:uid="{00000000-0005-0000-0000-0000F4000000}"/>
    <cellStyle name="Normal 2 3 12" xfId="245" xr:uid="{00000000-0005-0000-0000-0000F5000000}"/>
    <cellStyle name="Normal 2 3 13" xfId="246" xr:uid="{00000000-0005-0000-0000-0000F6000000}"/>
    <cellStyle name="Normal 2 3 14" xfId="247" xr:uid="{00000000-0005-0000-0000-0000F7000000}"/>
    <cellStyle name="Normal 2 3 15" xfId="248" xr:uid="{00000000-0005-0000-0000-0000F8000000}"/>
    <cellStyle name="Normal 2 3 2" xfId="249" xr:uid="{00000000-0005-0000-0000-0000F9000000}"/>
    <cellStyle name="Normal 2 3 2 2" xfId="250" xr:uid="{00000000-0005-0000-0000-0000FA000000}"/>
    <cellStyle name="Normal 2 3 2 2 2" xfId="251" xr:uid="{00000000-0005-0000-0000-0000FB000000}"/>
    <cellStyle name="Normal 2 3 2 2 3" xfId="252" xr:uid="{00000000-0005-0000-0000-0000FC000000}"/>
    <cellStyle name="Normal 2 3 2 3" xfId="253" xr:uid="{00000000-0005-0000-0000-0000FD000000}"/>
    <cellStyle name="Normal 2 3 2 4" xfId="254" xr:uid="{00000000-0005-0000-0000-0000FE000000}"/>
    <cellStyle name="Normal 2 3 2 5" xfId="255" xr:uid="{00000000-0005-0000-0000-0000FF000000}"/>
    <cellStyle name="Normal 2 3 3" xfId="256" xr:uid="{00000000-0005-0000-0000-000000010000}"/>
    <cellStyle name="Normal 2 3 3 2" xfId="257" xr:uid="{00000000-0005-0000-0000-000001010000}"/>
    <cellStyle name="Normal 2 3 3 3" xfId="258" xr:uid="{00000000-0005-0000-0000-000002010000}"/>
    <cellStyle name="Normal 2 3 4" xfId="259" xr:uid="{00000000-0005-0000-0000-000003010000}"/>
    <cellStyle name="Normal 2 3 5" xfId="260" xr:uid="{00000000-0005-0000-0000-000004010000}"/>
    <cellStyle name="Normal 2 3 6" xfId="261" xr:uid="{00000000-0005-0000-0000-000005010000}"/>
    <cellStyle name="Normal 2 3 7" xfId="262" xr:uid="{00000000-0005-0000-0000-000006010000}"/>
    <cellStyle name="Normal 2 3 8" xfId="263" xr:uid="{00000000-0005-0000-0000-000007010000}"/>
    <cellStyle name="Normal 2 3 9" xfId="264" xr:uid="{00000000-0005-0000-0000-000008010000}"/>
    <cellStyle name="Normal 2 4" xfId="265" xr:uid="{00000000-0005-0000-0000-000009010000}"/>
    <cellStyle name="Normal 2 4 10" xfId="266" xr:uid="{00000000-0005-0000-0000-00000A010000}"/>
    <cellStyle name="Normal 2 4 11" xfId="267" xr:uid="{00000000-0005-0000-0000-00000B010000}"/>
    <cellStyle name="Normal 2 4 12" xfId="268" xr:uid="{00000000-0005-0000-0000-00000C010000}"/>
    <cellStyle name="Normal 2 4 12 2" xfId="269" xr:uid="{00000000-0005-0000-0000-00000D010000}"/>
    <cellStyle name="Normal 2 4 12 3" xfId="270" xr:uid="{00000000-0005-0000-0000-00000E010000}"/>
    <cellStyle name="Normal 2 4 13" xfId="271" xr:uid="{00000000-0005-0000-0000-00000F010000}"/>
    <cellStyle name="Normal 2 4 13 2" xfId="272" xr:uid="{00000000-0005-0000-0000-000010010000}"/>
    <cellStyle name="Normal 2 4 13 3" xfId="273" xr:uid="{00000000-0005-0000-0000-000011010000}"/>
    <cellStyle name="Normal 2 4 2" xfId="274" xr:uid="{00000000-0005-0000-0000-000012010000}"/>
    <cellStyle name="Normal 2 4 2 2" xfId="275" xr:uid="{00000000-0005-0000-0000-000013010000}"/>
    <cellStyle name="Normal 2 4 2 2 2" xfId="276" xr:uid="{00000000-0005-0000-0000-000014010000}"/>
    <cellStyle name="Normal 2 4 2 2 3" xfId="277" xr:uid="{00000000-0005-0000-0000-000015010000}"/>
    <cellStyle name="Normal 2 4 2 3" xfId="278" xr:uid="{00000000-0005-0000-0000-000016010000}"/>
    <cellStyle name="Normal 2 4 2 4" xfId="279" xr:uid="{00000000-0005-0000-0000-000017010000}"/>
    <cellStyle name="Normal 2 4 2 5" xfId="280" xr:uid="{00000000-0005-0000-0000-000018010000}"/>
    <cellStyle name="Normal 2 4 3" xfId="281" xr:uid="{00000000-0005-0000-0000-000019010000}"/>
    <cellStyle name="Normal 2 4 3 2" xfId="282" xr:uid="{00000000-0005-0000-0000-00001A010000}"/>
    <cellStyle name="Normal 2 4 3 3" xfId="283" xr:uid="{00000000-0005-0000-0000-00001B010000}"/>
    <cellStyle name="Normal 2 4 4" xfId="284" xr:uid="{00000000-0005-0000-0000-00001C010000}"/>
    <cellStyle name="Normal 2 4 5" xfId="285" xr:uid="{00000000-0005-0000-0000-00001D010000}"/>
    <cellStyle name="Normal 2 4 6" xfId="286" xr:uid="{00000000-0005-0000-0000-00001E010000}"/>
    <cellStyle name="Normal 2 4 7" xfId="287" xr:uid="{00000000-0005-0000-0000-00001F010000}"/>
    <cellStyle name="Normal 2 4 8" xfId="288" xr:uid="{00000000-0005-0000-0000-000020010000}"/>
    <cellStyle name="Normal 2 4 9" xfId="289" xr:uid="{00000000-0005-0000-0000-000021010000}"/>
    <cellStyle name="Normal 2 5" xfId="290" xr:uid="{00000000-0005-0000-0000-000022010000}"/>
    <cellStyle name="Normal 2 5 10" xfId="291" xr:uid="{00000000-0005-0000-0000-000023010000}"/>
    <cellStyle name="Normal 2 5 11" xfId="292" xr:uid="{00000000-0005-0000-0000-000024010000}"/>
    <cellStyle name="Normal 2 5 12" xfId="293" xr:uid="{00000000-0005-0000-0000-000025010000}"/>
    <cellStyle name="Normal 2 5 12 2" xfId="294" xr:uid="{00000000-0005-0000-0000-000026010000}"/>
    <cellStyle name="Normal 2 5 12 3" xfId="295" xr:uid="{00000000-0005-0000-0000-000027010000}"/>
    <cellStyle name="Normal 2 5 2" xfId="296" xr:uid="{00000000-0005-0000-0000-000028010000}"/>
    <cellStyle name="Normal 2 5 2 2" xfId="297" xr:uid="{00000000-0005-0000-0000-000029010000}"/>
    <cellStyle name="Normal 2 5 3" xfId="298" xr:uid="{00000000-0005-0000-0000-00002A010000}"/>
    <cellStyle name="Normal 2 5 3 2" xfId="299" xr:uid="{00000000-0005-0000-0000-00002B010000}"/>
    <cellStyle name="Normal 2 5 4" xfId="300" xr:uid="{00000000-0005-0000-0000-00002C010000}"/>
    <cellStyle name="Normal 2 5 5" xfId="301" xr:uid="{00000000-0005-0000-0000-00002D010000}"/>
    <cellStyle name="Normal 2 5 6" xfId="302" xr:uid="{00000000-0005-0000-0000-00002E010000}"/>
    <cellStyle name="Normal 2 5 7" xfId="303" xr:uid="{00000000-0005-0000-0000-00002F010000}"/>
    <cellStyle name="Normal 2 5 8" xfId="304" xr:uid="{00000000-0005-0000-0000-000030010000}"/>
    <cellStyle name="Normal 2 5 9" xfId="305" xr:uid="{00000000-0005-0000-0000-000031010000}"/>
    <cellStyle name="Normal 2 6" xfId="306" xr:uid="{00000000-0005-0000-0000-000032010000}"/>
    <cellStyle name="Normal 2 6 10" xfId="307" xr:uid="{00000000-0005-0000-0000-000033010000}"/>
    <cellStyle name="Normal 2 6 11" xfId="308" xr:uid="{00000000-0005-0000-0000-000034010000}"/>
    <cellStyle name="Normal 2 6 12" xfId="309" xr:uid="{00000000-0005-0000-0000-000035010000}"/>
    <cellStyle name="Normal 2 6 2" xfId="310" xr:uid="{00000000-0005-0000-0000-000036010000}"/>
    <cellStyle name="Normal 2 6 2 2" xfId="311" xr:uid="{00000000-0005-0000-0000-000037010000}"/>
    <cellStyle name="Normal 2 6 3" xfId="312" xr:uid="{00000000-0005-0000-0000-000038010000}"/>
    <cellStyle name="Normal 2 6 3 2" xfId="313" xr:uid="{00000000-0005-0000-0000-000039010000}"/>
    <cellStyle name="Normal 2 6 4" xfId="314" xr:uid="{00000000-0005-0000-0000-00003A010000}"/>
    <cellStyle name="Normal 2 6 5" xfId="315" xr:uid="{00000000-0005-0000-0000-00003B010000}"/>
    <cellStyle name="Normal 2 6 6" xfId="316" xr:uid="{00000000-0005-0000-0000-00003C010000}"/>
    <cellStyle name="Normal 2 6 7" xfId="317" xr:uid="{00000000-0005-0000-0000-00003D010000}"/>
    <cellStyle name="Normal 2 6 8" xfId="318" xr:uid="{00000000-0005-0000-0000-00003E010000}"/>
    <cellStyle name="Normal 2 6 9" xfId="319" xr:uid="{00000000-0005-0000-0000-00003F010000}"/>
    <cellStyle name="Normal 2 7" xfId="320" xr:uid="{00000000-0005-0000-0000-000040010000}"/>
    <cellStyle name="Normal 2 7 10" xfId="321" xr:uid="{00000000-0005-0000-0000-000041010000}"/>
    <cellStyle name="Normal 2 7 11" xfId="322" xr:uid="{00000000-0005-0000-0000-000042010000}"/>
    <cellStyle name="Normal 2 7 2" xfId="323" xr:uid="{00000000-0005-0000-0000-000043010000}"/>
    <cellStyle name="Normal 2 7 2 2" xfId="324" xr:uid="{00000000-0005-0000-0000-000044010000}"/>
    <cellStyle name="Normal 2 7 2 3" xfId="325" xr:uid="{00000000-0005-0000-0000-000045010000}"/>
    <cellStyle name="Normal 2 7 3" xfId="326" xr:uid="{00000000-0005-0000-0000-000046010000}"/>
    <cellStyle name="Normal 2 7 3 2" xfId="327" xr:uid="{00000000-0005-0000-0000-000047010000}"/>
    <cellStyle name="Normal 2 7 4" xfId="328" xr:uid="{00000000-0005-0000-0000-000048010000}"/>
    <cellStyle name="Normal 2 7 4 2" xfId="329" xr:uid="{00000000-0005-0000-0000-000049010000}"/>
    <cellStyle name="Normal 2 7 5" xfId="330" xr:uid="{00000000-0005-0000-0000-00004A010000}"/>
    <cellStyle name="Normal 2 7 5 2" xfId="331" xr:uid="{00000000-0005-0000-0000-00004B010000}"/>
    <cellStyle name="Normal 2 7 6" xfId="332" xr:uid="{00000000-0005-0000-0000-00004C010000}"/>
    <cellStyle name="Normal 2 7 6 2" xfId="333" xr:uid="{00000000-0005-0000-0000-00004D010000}"/>
    <cellStyle name="Normal 2 7 7" xfId="334" xr:uid="{00000000-0005-0000-0000-00004E010000}"/>
    <cellStyle name="Normal 2 7 7 2" xfId="335" xr:uid="{00000000-0005-0000-0000-00004F010000}"/>
    <cellStyle name="Normal 2 7 8" xfId="336" xr:uid="{00000000-0005-0000-0000-000050010000}"/>
    <cellStyle name="Normal 2 7 8 2" xfId="337" xr:uid="{00000000-0005-0000-0000-000051010000}"/>
    <cellStyle name="Normal 2 7 9" xfId="338" xr:uid="{00000000-0005-0000-0000-000052010000}"/>
    <cellStyle name="Normal 2 8" xfId="339" xr:uid="{00000000-0005-0000-0000-000053010000}"/>
    <cellStyle name="Normal 2 8 10" xfId="340" xr:uid="{00000000-0005-0000-0000-000054010000}"/>
    <cellStyle name="Normal 2 8 11" xfId="341" xr:uid="{00000000-0005-0000-0000-000055010000}"/>
    <cellStyle name="Normal 2 8 2" xfId="342" xr:uid="{00000000-0005-0000-0000-000056010000}"/>
    <cellStyle name="Normal 2 8 2 2" xfId="343" xr:uid="{00000000-0005-0000-0000-000057010000}"/>
    <cellStyle name="Normal 2 8 3" xfId="344" xr:uid="{00000000-0005-0000-0000-000058010000}"/>
    <cellStyle name="Normal 2 8 3 2" xfId="345" xr:uid="{00000000-0005-0000-0000-000059010000}"/>
    <cellStyle name="Normal 2 8 4" xfId="346" xr:uid="{00000000-0005-0000-0000-00005A010000}"/>
    <cellStyle name="Normal 2 8 4 2" xfId="347" xr:uid="{00000000-0005-0000-0000-00005B010000}"/>
    <cellStyle name="Normal 2 8 5" xfId="348" xr:uid="{00000000-0005-0000-0000-00005C010000}"/>
    <cellStyle name="Normal 2 8 5 2" xfId="349" xr:uid="{00000000-0005-0000-0000-00005D010000}"/>
    <cellStyle name="Normal 2 8 6" xfId="350" xr:uid="{00000000-0005-0000-0000-00005E010000}"/>
    <cellStyle name="Normal 2 8 6 2" xfId="351" xr:uid="{00000000-0005-0000-0000-00005F010000}"/>
    <cellStyle name="Normal 2 8 7" xfId="352" xr:uid="{00000000-0005-0000-0000-000060010000}"/>
    <cellStyle name="Normal 2 8 7 2" xfId="353" xr:uid="{00000000-0005-0000-0000-000061010000}"/>
    <cellStyle name="Normal 2 8 8" xfId="354" xr:uid="{00000000-0005-0000-0000-000062010000}"/>
    <cellStyle name="Normal 2 8 8 2" xfId="355" xr:uid="{00000000-0005-0000-0000-000063010000}"/>
    <cellStyle name="Normal 2 8 9" xfId="356" xr:uid="{00000000-0005-0000-0000-000064010000}"/>
    <cellStyle name="Normal 2 9" xfId="357" xr:uid="{00000000-0005-0000-0000-000065010000}"/>
    <cellStyle name="Normal 2 9 10" xfId="358" xr:uid="{00000000-0005-0000-0000-000066010000}"/>
    <cellStyle name="Normal 2 9 11" xfId="359" xr:uid="{00000000-0005-0000-0000-000067010000}"/>
    <cellStyle name="Normal 2 9 2" xfId="360" xr:uid="{00000000-0005-0000-0000-000068010000}"/>
    <cellStyle name="Normal 2 9 2 2" xfId="361" xr:uid="{00000000-0005-0000-0000-000069010000}"/>
    <cellStyle name="Normal 2 9 3" xfId="362" xr:uid="{00000000-0005-0000-0000-00006A010000}"/>
    <cellStyle name="Normal 2 9 3 2" xfId="363" xr:uid="{00000000-0005-0000-0000-00006B010000}"/>
    <cellStyle name="Normal 2 9 4" xfId="364" xr:uid="{00000000-0005-0000-0000-00006C010000}"/>
    <cellStyle name="Normal 2 9 4 2" xfId="365" xr:uid="{00000000-0005-0000-0000-00006D010000}"/>
    <cellStyle name="Normal 2 9 5" xfId="366" xr:uid="{00000000-0005-0000-0000-00006E010000}"/>
    <cellStyle name="Normal 2 9 5 2" xfId="367" xr:uid="{00000000-0005-0000-0000-00006F010000}"/>
    <cellStyle name="Normal 2 9 6" xfId="368" xr:uid="{00000000-0005-0000-0000-000070010000}"/>
    <cellStyle name="Normal 2 9 6 2" xfId="369" xr:uid="{00000000-0005-0000-0000-000071010000}"/>
    <cellStyle name="Normal 2 9 7" xfId="370" xr:uid="{00000000-0005-0000-0000-000072010000}"/>
    <cellStyle name="Normal 2 9 7 2" xfId="371" xr:uid="{00000000-0005-0000-0000-000073010000}"/>
    <cellStyle name="Normal 2 9 8" xfId="372" xr:uid="{00000000-0005-0000-0000-000074010000}"/>
    <cellStyle name="Normal 2 9 8 2" xfId="373" xr:uid="{00000000-0005-0000-0000-000075010000}"/>
    <cellStyle name="Normal 2 9 9" xfId="374" xr:uid="{00000000-0005-0000-0000-000076010000}"/>
    <cellStyle name="Normal 20" xfId="375" xr:uid="{00000000-0005-0000-0000-000077010000}"/>
    <cellStyle name="Normal 20 2" xfId="376" xr:uid="{00000000-0005-0000-0000-000078010000}"/>
    <cellStyle name="Normal 20 3" xfId="377" xr:uid="{00000000-0005-0000-0000-000079010000}"/>
    <cellStyle name="Normal 21" xfId="378" xr:uid="{00000000-0005-0000-0000-00007A010000}"/>
    <cellStyle name="Normal 21 2" xfId="379" xr:uid="{00000000-0005-0000-0000-00007B010000}"/>
    <cellStyle name="Normal 21 2 2" xfId="380" xr:uid="{00000000-0005-0000-0000-00007C010000}"/>
    <cellStyle name="Normal 21 2 3" xfId="381" xr:uid="{00000000-0005-0000-0000-00007D010000}"/>
    <cellStyle name="Normal 21 3" xfId="382" xr:uid="{00000000-0005-0000-0000-00007E010000}"/>
    <cellStyle name="Normal 21 4" xfId="383" xr:uid="{00000000-0005-0000-0000-00007F010000}"/>
    <cellStyle name="Normal 21 5" xfId="384" xr:uid="{00000000-0005-0000-0000-000080010000}"/>
    <cellStyle name="Normal 22" xfId="385" xr:uid="{00000000-0005-0000-0000-000081010000}"/>
    <cellStyle name="Normal 22 2" xfId="386" xr:uid="{00000000-0005-0000-0000-000082010000}"/>
    <cellStyle name="Normal 22 3" xfId="387" xr:uid="{00000000-0005-0000-0000-000083010000}"/>
    <cellStyle name="Normal 23" xfId="388" xr:uid="{00000000-0005-0000-0000-000084010000}"/>
    <cellStyle name="Normal 23 2" xfId="389" xr:uid="{00000000-0005-0000-0000-000085010000}"/>
    <cellStyle name="Normal 23 3" xfId="390" xr:uid="{00000000-0005-0000-0000-000086010000}"/>
    <cellStyle name="Normal 24" xfId="391" xr:uid="{00000000-0005-0000-0000-000087010000}"/>
    <cellStyle name="Normal 24 2" xfId="392" xr:uid="{00000000-0005-0000-0000-000088010000}"/>
    <cellStyle name="Normal 24 3" xfId="393" xr:uid="{00000000-0005-0000-0000-000089010000}"/>
    <cellStyle name="Normal 25" xfId="394" xr:uid="{00000000-0005-0000-0000-00008A010000}"/>
    <cellStyle name="Normal 25 2" xfId="395" xr:uid="{00000000-0005-0000-0000-00008B010000}"/>
    <cellStyle name="Normal 25 3" xfId="396" xr:uid="{00000000-0005-0000-0000-00008C010000}"/>
    <cellStyle name="Normal 26" xfId="397" xr:uid="{00000000-0005-0000-0000-00008D010000}"/>
    <cellStyle name="Normal 27" xfId="398" xr:uid="{00000000-0005-0000-0000-00008E010000}"/>
    <cellStyle name="Normal 27 2" xfId="399" xr:uid="{00000000-0005-0000-0000-00008F010000}"/>
    <cellStyle name="Normal 3" xfId="400" xr:uid="{00000000-0005-0000-0000-000090010000}"/>
    <cellStyle name="Normal 3 10" xfId="401" xr:uid="{00000000-0005-0000-0000-000091010000}"/>
    <cellStyle name="Normal 3 10 2" xfId="402" xr:uid="{00000000-0005-0000-0000-000092010000}"/>
    <cellStyle name="Normal 3 11" xfId="403" xr:uid="{00000000-0005-0000-0000-000093010000}"/>
    <cellStyle name="Normal 3 12" xfId="404" xr:uid="{00000000-0005-0000-0000-000094010000}"/>
    <cellStyle name="Normal 3 13" xfId="405" xr:uid="{00000000-0005-0000-0000-000095010000}"/>
    <cellStyle name="Normal 3 14" xfId="406" xr:uid="{00000000-0005-0000-0000-000096010000}"/>
    <cellStyle name="Normal 3 15" xfId="407" xr:uid="{00000000-0005-0000-0000-000097010000}"/>
    <cellStyle name="Normal 3 2" xfId="408" xr:uid="{00000000-0005-0000-0000-000098010000}"/>
    <cellStyle name="Normal 3 2 2" xfId="409" xr:uid="{00000000-0005-0000-0000-000099010000}"/>
    <cellStyle name="Normal 3 2 2 2" xfId="410" xr:uid="{00000000-0005-0000-0000-00009A010000}"/>
    <cellStyle name="Normal 3 2 2 3" xfId="411" xr:uid="{00000000-0005-0000-0000-00009B010000}"/>
    <cellStyle name="Normal 3 2 3" xfId="412" xr:uid="{00000000-0005-0000-0000-00009C010000}"/>
    <cellStyle name="Normal 3 2 4" xfId="413" xr:uid="{00000000-0005-0000-0000-00009D010000}"/>
    <cellStyle name="Normal 3 2 5" xfId="414" xr:uid="{00000000-0005-0000-0000-00009E010000}"/>
    <cellStyle name="Normal 3 3" xfId="415" xr:uid="{00000000-0005-0000-0000-00009F010000}"/>
    <cellStyle name="Normal 3 3 2" xfId="416" xr:uid="{00000000-0005-0000-0000-0000A0010000}"/>
    <cellStyle name="Normal 3 3 2 2" xfId="417" xr:uid="{00000000-0005-0000-0000-0000A1010000}"/>
    <cellStyle name="Normal 3 3 2 3" xfId="418" xr:uid="{00000000-0005-0000-0000-0000A2010000}"/>
    <cellStyle name="Normal 3 3 3" xfId="419" xr:uid="{00000000-0005-0000-0000-0000A3010000}"/>
    <cellStyle name="Normal 3 3 4" xfId="420" xr:uid="{00000000-0005-0000-0000-0000A4010000}"/>
    <cellStyle name="Normal 3 4" xfId="421" xr:uid="{00000000-0005-0000-0000-0000A5010000}"/>
    <cellStyle name="Normal 3 5" xfId="422" xr:uid="{00000000-0005-0000-0000-0000A6010000}"/>
    <cellStyle name="Normal 3 6" xfId="423" xr:uid="{00000000-0005-0000-0000-0000A7010000}"/>
    <cellStyle name="Normal 3 7" xfId="424" xr:uid="{00000000-0005-0000-0000-0000A8010000}"/>
    <cellStyle name="Normal 3 7 2" xfId="425" xr:uid="{00000000-0005-0000-0000-0000A9010000}"/>
    <cellStyle name="Normal 3 7 3" xfId="426" xr:uid="{00000000-0005-0000-0000-0000AA010000}"/>
    <cellStyle name="Normal 3 8" xfId="427" xr:uid="{00000000-0005-0000-0000-0000AB010000}"/>
    <cellStyle name="Normal 3 8 2" xfId="428" xr:uid="{00000000-0005-0000-0000-0000AC010000}"/>
    <cellStyle name="Normal 3 8 3" xfId="429" xr:uid="{00000000-0005-0000-0000-0000AD010000}"/>
    <cellStyle name="Normal 3 9" xfId="430" xr:uid="{00000000-0005-0000-0000-0000AE010000}"/>
    <cellStyle name="Normal 3 9 2" xfId="431" xr:uid="{00000000-0005-0000-0000-0000AF010000}"/>
    <cellStyle name="Normal 3 9 3" xfId="432" xr:uid="{00000000-0005-0000-0000-0000B0010000}"/>
    <cellStyle name="Normal 4" xfId="433" xr:uid="{00000000-0005-0000-0000-0000B1010000}"/>
    <cellStyle name="Normal 4 10" xfId="434" xr:uid="{00000000-0005-0000-0000-0000B2010000}"/>
    <cellStyle name="Normal 4 11" xfId="435" xr:uid="{00000000-0005-0000-0000-0000B3010000}"/>
    <cellStyle name="Normal 4 12" xfId="436" xr:uid="{00000000-0005-0000-0000-0000B4010000}"/>
    <cellStyle name="Normal 4 13" xfId="437" xr:uid="{00000000-0005-0000-0000-0000B5010000}"/>
    <cellStyle name="Normal 4 2" xfId="438" xr:uid="{00000000-0005-0000-0000-0000B6010000}"/>
    <cellStyle name="Normal 4 2 2" xfId="439" xr:uid="{00000000-0005-0000-0000-0000B7010000}"/>
    <cellStyle name="Normal 4 2 2 2" xfId="440" xr:uid="{00000000-0005-0000-0000-0000B8010000}"/>
    <cellStyle name="Normal 4 2 2 3" xfId="441" xr:uid="{00000000-0005-0000-0000-0000B9010000}"/>
    <cellStyle name="Normal 4 2 2 3 2" xfId="442" xr:uid="{00000000-0005-0000-0000-0000BA010000}"/>
    <cellStyle name="Normal 4 2 3" xfId="443" xr:uid="{00000000-0005-0000-0000-0000BB010000}"/>
    <cellStyle name="Normal 4 2 4" xfId="444" xr:uid="{00000000-0005-0000-0000-0000BC010000}"/>
    <cellStyle name="Normal 4 2 5" xfId="445" xr:uid="{00000000-0005-0000-0000-0000BD010000}"/>
    <cellStyle name="Normal 4 3" xfId="446" xr:uid="{00000000-0005-0000-0000-0000BE010000}"/>
    <cellStyle name="Normal 4 3 2" xfId="447" xr:uid="{00000000-0005-0000-0000-0000BF010000}"/>
    <cellStyle name="Normal 4 3 3" xfId="448" xr:uid="{00000000-0005-0000-0000-0000C0010000}"/>
    <cellStyle name="Normal 4 4" xfId="449" xr:uid="{00000000-0005-0000-0000-0000C1010000}"/>
    <cellStyle name="Normal 4 5" xfId="450" xr:uid="{00000000-0005-0000-0000-0000C2010000}"/>
    <cellStyle name="Normal 4 5 2" xfId="451" xr:uid="{00000000-0005-0000-0000-0000C3010000}"/>
    <cellStyle name="Normal 4 5 3" xfId="452" xr:uid="{00000000-0005-0000-0000-0000C4010000}"/>
    <cellStyle name="Normal 4 6" xfId="453" xr:uid="{00000000-0005-0000-0000-0000C5010000}"/>
    <cellStyle name="Normal 4 6 2" xfId="454" xr:uid="{00000000-0005-0000-0000-0000C6010000}"/>
    <cellStyle name="Normal 4 6 3" xfId="455" xr:uid="{00000000-0005-0000-0000-0000C7010000}"/>
    <cellStyle name="Normal 4 7" xfId="456" xr:uid="{00000000-0005-0000-0000-0000C8010000}"/>
    <cellStyle name="Normal 4 8" xfId="457" xr:uid="{00000000-0005-0000-0000-0000C9010000}"/>
    <cellStyle name="Normal 4 9" xfId="458" xr:uid="{00000000-0005-0000-0000-0000CA010000}"/>
    <cellStyle name="Normal 5" xfId="459" xr:uid="{00000000-0005-0000-0000-0000CB010000}"/>
    <cellStyle name="Normal 5 2" xfId="460" xr:uid="{00000000-0005-0000-0000-0000CC010000}"/>
    <cellStyle name="Normal 5 3" xfId="461" xr:uid="{00000000-0005-0000-0000-0000CD010000}"/>
    <cellStyle name="Normal 5 3 2" xfId="462" xr:uid="{00000000-0005-0000-0000-0000CE010000}"/>
    <cellStyle name="Normal 5 3 3" xfId="463" xr:uid="{00000000-0005-0000-0000-0000CF010000}"/>
    <cellStyle name="Normal 5 4" xfId="464" xr:uid="{00000000-0005-0000-0000-0000D0010000}"/>
    <cellStyle name="Normal 5 5" xfId="465" xr:uid="{00000000-0005-0000-0000-0000D1010000}"/>
    <cellStyle name="Normal 5 5 2" xfId="466" xr:uid="{00000000-0005-0000-0000-0000D2010000}"/>
    <cellStyle name="Normal 5 5 3" xfId="467" xr:uid="{00000000-0005-0000-0000-0000D3010000}"/>
    <cellStyle name="Normal 5 6" xfId="468" xr:uid="{00000000-0005-0000-0000-0000D4010000}"/>
    <cellStyle name="Normal 5 7" xfId="511" xr:uid="{4D908428-FCD2-483A-AB16-9873B7E0F252}"/>
    <cellStyle name="Normal 6" xfId="469" xr:uid="{00000000-0005-0000-0000-0000D5010000}"/>
    <cellStyle name="Normal 6 2" xfId="470" xr:uid="{00000000-0005-0000-0000-0000D6010000}"/>
    <cellStyle name="Normal 6 3" xfId="471" xr:uid="{00000000-0005-0000-0000-0000D7010000}"/>
    <cellStyle name="Normal 6 4" xfId="472" xr:uid="{00000000-0005-0000-0000-0000D8010000}"/>
    <cellStyle name="Normal 6 5" xfId="473" xr:uid="{00000000-0005-0000-0000-0000D9010000}"/>
    <cellStyle name="Normal 7 2" xfId="474" xr:uid="{00000000-0005-0000-0000-0000DA010000}"/>
    <cellStyle name="Normal 7 2 2" xfId="475" xr:uid="{00000000-0005-0000-0000-0000DB010000}"/>
    <cellStyle name="Normal 7 2 2 2" xfId="476" xr:uid="{00000000-0005-0000-0000-0000DC010000}"/>
    <cellStyle name="Normal 7 2 2 3" xfId="477" xr:uid="{00000000-0005-0000-0000-0000DD010000}"/>
    <cellStyle name="Normal 7 2 3" xfId="478" xr:uid="{00000000-0005-0000-0000-0000DE010000}"/>
    <cellStyle name="Normal 7 2 4" xfId="479" xr:uid="{00000000-0005-0000-0000-0000DF010000}"/>
    <cellStyle name="Normal 7 2 4 2" xfId="480" xr:uid="{00000000-0005-0000-0000-0000E0010000}"/>
    <cellStyle name="Normal 7 2 4 3" xfId="481" xr:uid="{00000000-0005-0000-0000-0000E1010000}"/>
    <cellStyle name="Normal 7 2 5" xfId="482" xr:uid="{00000000-0005-0000-0000-0000E2010000}"/>
    <cellStyle name="Normal 7 3" xfId="483" xr:uid="{00000000-0005-0000-0000-0000E3010000}"/>
    <cellStyle name="Normal 7 4" xfId="484" xr:uid="{00000000-0005-0000-0000-0000E4010000}"/>
    <cellStyle name="Normal 7 4 2" xfId="485" xr:uid="{00000000-0005-0000-0000-0000E5010000}"/>
    <cellStyle name="Normal 7 4 3" xfId="486" xr:uid="{00000000-0005-0000-0000-0000E6010000}"/>
    <cellStyle name="Normal 7 5" xfId="487" xr:uid="{00000000-0005-0000-0000-0000E7010000}"/>
    <cellStyle name="Normal 7 5 2" xfId="488" xr:uid="{00000000-0005-0000-0000-0000E8010000}"/>
    <cellStyle name="Normal 7 5 3" xfId="489" xr:uid="{00000000-0005-0000-0000-0000E9010000}"/>
    <cellStyle name="Normal 7 5 4" xfId="490" xr:uid="{00000000-0005-0000-0000-0000EA010000}"/>
    <cellStyle name="Normal 7 5 5" xfId="491" xr:uid="{00000000-0005-0000-0000-0000EB010000}"/>
    <cellStyle name="Normal 7 6" xfId="492" xr:uid="{00000000-0005-0000-0000-0000EC010000}"/>
    <cellStyle name="Normal 7 7" xfId="493" xr:uid="{00000000-0005-0000-0000-0000ED010000}"/>
    <cellStyle name="Normal 8" xfId="494" xr:uid="{00000000-0005-0000-0000-0000EE010000}"/>
    <cellStyle name="Normal 8 2" xfId="495" xr:uid="{00000000-0005-0000-0000-0000EF010000}"/>
    <cellStyle name="Normal 8 3" xfId="496" xr:uid="{00000000-0005-0000-0000-0000F0010000}"/>
    <cellStyle name="Normal 9" xfId="497" xr:uid="{00000000-0005-0000-0000-0000F1010000}"/>
    <cellStyle name="Normal 9 2" xfId="498" xr:uid="{00000000-0005-0000-0000-0000F2010000}"/>
    <cellStyle name="Normal 9 2 2" xfId="499" xr:uid="{00000000-0005-0000-0000-0000F3010000}"/>
    <cellStyle name="Normal 9 2 3" xfId="500" xr:uid="{00000000-0005-0000-0000-0000F4010000}"/>
    <cellStyle name="Normal 9 3" xfId="501" xr:uid="{00000000-0005-0000-0000-0000F5010000}"/>
    <cellStyle name="Normal 9 4" xfId="502" xr:uid="{00000000-0005-0000-0000-0000F6010000}"/>
    <cellStyle name="Normal 9 5" xfId="503" xr:uid="{00000000-0005-0000-0000-0000F7010000}"/>
    <cellStyle name="Normal 9 5 2" xfId="504" xr:uid="{00000000-0005-0000-0000-0000F8010000}"/>
    <cellStyle name="Normal 9 5 3" xfId="505" xr:uid="{00000000-0005-0000-0000-0000F9010000}"/>
    <cellStyle name="Normal 9 6" xfId="506" xr:uid="{00000000-0005-0000-0000-0000FA010000}"/>
    <cellStyle name="Normal 9 6 2" xfId="507" xr:uid="{00000000-0005-0000-0000-0000FB010000}"/>
    <cellStyle name="Normal 9 6 3" xfId="508" xr:uid="{00000000-0005-0000-0000-0000FC010000}"/>
    <cellStyle name="Normal_debt" xfId="509" xr:uid="{00000000-0005-0000-0000-0000FD010000}"/>
    <cellStyle name="Normal_lpform" xfId="510" xr:uid="{00000000-0005-0000-0000-0000FE010000}"/>
  </cellStyles>
  <dxfs count="334">
    <dxf>
      <font>
        <b/>
        <i val="0"/>
        <strike val="0"/>
      </font>
      <fill>
        <patternFill>
          <bgColor rgb="FFFF0000"/>
        </patternFill>
      </fill>
    </dxf>
    <dxf>
      <font>
        <b/>
        <i val="0"/>
        <strike val="0"/>
      </font>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strike val="0"/>
        <u val="none"/>
        <color auto="1"/>
      </font>
      <fill>
        <patternFill patternType="solid">
          <fgColor rgb="FFFF0000"/>
          <bgColor rgb="FFFF000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u val="none"/>
        <color auto="1"/>
      </font>
      <fill>
        <patternFill patternType="solid">
          <fgColor rgb="FFFF0000"/>
          <bgColor rgb="FFFF000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u val="none"/>
        <color auto="1"/>
      </font>
      <fill>
        <patternFill patternType="solid">
          <fgColor rgb="FFFF0000"/>
          <bgColor rgb="FFFF000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u val="none"/>
        <color auto="1"/>
      </font>
      <fill>
        <patternFill patternType="solid">
          <fgColor rgb="FFFF0000"/>
          <bgColor rgb="FFFF000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val="0"/>
        <u val="none"/>
        <color auto="1"/>
      </font>
      <fill>
        <patternFill patternType="solid">
          <fgColor rgb="FFFF0000"/>
          <bgColor rgb="FFFF000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strike val="0"/>
        <u val="none"/>
        <color auto="1"/>
      </font>
      <fill>
        <patternFill patternType="solid">
          <fgColor rgb="FFFF0000"/>
          <bgColor rgb="FFFF000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ont>
        <b/>
        <i val="0"/>
        <strike val="0"/>
        <u val="none"/>
        <color auto="1"/>
      </font>
      <fill>
        <patternFill patternType="solid">
          <fgColor rgb="FFFF0000"/>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3399"/>
      <color rgb="FFFDD57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28575</xdr:rowOff>
    </xdr:from>
    <xdr:to>
      <xdr:col>1</xdr:col>
      <xdr:colOff>209550</xdr:colOff>
      <xdr:row>18</xdr:row>
      <xdr:rowOff>180975</xdr:rowOff>
    </xdr:to>
    <xdr:sp macro="" textlink="">
      <xdr:nvSpPr>
        <xdr:cNvPr id="2" name="Text Box 2">
          <a:extLst>
            <a:ext uri="{FF2B5EF4-FFF2-40B4-BE49-F238E27FC236}">
              <a16:creationId xmlns:a16="http://schemas.microsoft.com/office/drawing/2014/main" id="{EAE56B21-900F-4766-8864-9A97027D8D38}"/>
            </a:ext>
          </a:extLst>
        </xdr:cNvPr>
        <xdr:cNvSpPr txBox="1"/>
      </xdr:nvSpPr>
      <xdr:spPr>
        <a:xfrm>
          <a:off x="104775" y="5695950"/>
          <a:ext cx="209550" cy="152400"/>
        </a:xfrm>
        <a:prstGeom prst="rect">
          <a:avLst/>
        </a:prstGeom>
        <a:solidFill>
          <a:srgbClr val="00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1</xdr:col>
      <xdr:colOff>0</xdr:colOff>
      <xdr:row>20</xdr:row>
      <xdr:rowOff>57150</xdr:rowOff>
    </xdr:from>
    <xdr:to>
      <xdr:col>1</xdr:col>
      <xdr:colOff>209550</xdr:colOff>
      <xdr:row>20</xdr:row>
      <xdr:rowOff>209550</xdr:rowOff>
    </xdr:to>
    <xdr:sp macro="" textlink="">
      <xdr:nvSpPr>
        <xdr:cNvPr id="3" name="Text Box 5">
          <a:extLst>
            <a:ext uri="{FF2B5EF4-FFF2-40B4-BE49-F238E27FC236}">
              <a16:creationId xmlns:a16="http://schemas.microsoft.com/office/drawing/2014/main" id="{1EBCA960-829E-4247-9E57-A5E3E430C78D}"/>
            </a:ext>
          </a:extLst>
        </xdr:cNvPr>
        <xdr:cNvSpPr txBox="1">
          <a:spLocks noChangeArrowheads="1"/>
        </xdr:cNvSpPr>
      </xdr:nvSpPr>
      <xdr:spPr bwMode="auto">
        <a:xfrm>
          <a:off x="104775" y="6086475"/>
          <a:ext cx="209550" cy="152400"/>
        </a:xfrm>
        <a:prstGeom prst="rect">
          <a:avLst/>
        </a:prstGeom>
        <a:solidFill>
          <a:srgbClr val="FFF2CC"/>
        </a:solidFill>
        <a:ln w="6350">
          <a:solidFill>
            <a:srgbClr val="000000"/>
          </a:solidFill>
          <a:miter lim="800000"/>
          <a:headEnd/>
          <a:tailEnd/>
        </a:ln>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a:cs typeface="Calibri"/>
            </a:rPr>
            <a:t> </a:t>
          </a:r>
        </a:p>
      </xdr:txBody>
    </xdr:sp>
    <xdr:clientData/>
  </xdr:twoCellAnchor>
  <xdr:twoCellAnchor>
    <xdr:from>
      <xdr:col>1</xdr:col>
      <xdr:colOff>0</xdr:colOff>
      <xdr:row>22</xdr:row>
      <xdr:rowOff>38100</xdr:rowOff>
    </xdr:from>
    <xdr:to>
      <xdr:col>1</xdr:col>
      <xdr:colOff>209550</xdr:colOff>
      <xdr:row>22</xdr:row>
      <xdr:rowOff>190500</xdr:rowOff>
    </xdr:to>
    <xdr:sp macro="" textlink="">
      <xdr:nvSpPr>
        <xdr:cNvPr id="4" name="Text Box 6">
          <a:extLst>
            <a:ext uri="{FF2B5EF4-FFF2-40B4-BE49-F238E27FC236}">
              <a16:creationId xmlns:a16="http://schemas.microsoft.com/office/drawing/2014/main" id="{14955E3A-2BA4-4221-9143-620188A0E5B6}"/>
            </a:ext>
          </a:extLst>
        </xdr:cNvPr>
        <xdr:cNvSpPr txBox="1"/>
      </xdr:nvSpPr>
      <xdr:spPr>
        <a:xfrm>
          <a:off x="104775" y="7086600"/>
          <a:ext cx="209550" cy="152400"/>
        </a:xfrm>
        <a:prstGeom prst="rect">
          <a:avLst/>
        </a:prstGeom>
        <a:solidFill>
          <a:srgbClr val="00FFFF"/>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1</xdr:col>
      <xdr:colOff>0</xdr:colOff>
      <xdr:row>24</xdr:row>
      <xdr:rowOff>38100</xdr:rowOff>
    </xdr:from>
    <xdr:to>
      <xdr:col>1</xdr:col>
      <xdr:colOff>209550</xdr:colOff>
      <xdr:row>24</xdr:row>
      <xdr:rowOff>190500</xdr:rowOff>
    </xdr:to>
    <xdr:sp macro="" textlink="">
      <xdr:nvSpPr>
        <xdr:cNvPr id="5" name="Text Box 7">
          <a:extLst>
            <a:ext uri="{FF2B5EF4-FFF2-40B4-BE49-F238E27FC236}">
              <a16:creationId xmlns:a16="http://schemas.microsoft.com/office/drawing/2014/main" id="{C06EDA11-DD7D-43DE-A692-ED1D253F65A8}"/>
            </a:ext>
          </a:extLst>
        </xdr:cNvPr>
        <xdr:cNvSpPr txBox="1"/>
      </xdr:nvSpPr>
      <xdr:spPr>
        <a:xfrm>
          <a:off x="104775" y="7448550"/>
          <a:ext cx="209550" cy="152400"/>
        </a:xfrm>
        <a:prstGeom prst="rect">
          <a:avLst/>
        </a:prstGeom>
        <a:solidFill>
          <a:srgbClr val="FF00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461385</xdr:colOff>
      <xdr:row>66</xdr:row>
      <xdr:rowOff>38100</xdr:rowOff>
    </xdr:to>
    <xdr:pic>
      <xdr:nvPicPr>
        <xdr:cNvPr id="2" name="Picture 1">
          <a:extLst>
            <a:ext uri="{FF2B5EF4-FFF2-40B4-BE49-F238E27FC236}">
              <a16:creationId xmlns:a16="http://schemas.microsoft.com/office/drawing/2014/main" id="{21FD440E-3762-8C37-736E-94254BB8E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05385" cy="1261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300305</xdr:colOff>
      <xdr:row>50</xdr:row>
      <xdr:rowOff>85725</xdr:rowOff>
    </xdr:to>
    <xdr:pic>
      <xdr:nvPicPr>
        <xdr:cNvPr id="2" name="Picture 1">
          <a:extLst>
            <a:ext uri="{FF2B5EF4-FFF2-40B4-BE49-F238E27FC236}">
              <a16:creationId xmlns:a16="http://schemas.microsoft.com/office/drawing/2014/main" id="{9D9DB11A-5497-4B63-1D53-C2BB2E7A1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96305" cy="961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12192</xdr:colOff>
      <xdr:row>52</xdr:row>
      <xdr:rowOff>73152</xdr:rowOff>
    </xdr:to>
    <xdr:pic>
      <xdr:nvPicPr>
        <xdr:cNvPr id="3" name="Picture 2">
          <a:extLst>
            <a:ext uri="{FF2B5EF4-FFF2-40B4-BE49-F238E27FC236}">
              <a16:creationId xmlns:a16="http://schemas.microsoft.com/office/drawing/2014/main" id="{B045FB65-67CA-4A6C-837C-4B46F8750E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32192" cy="9979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60960</xdr:colOff>
      <xdr:row>52</xdr:row>
      <xdr:rowOff>70104</xdr:rowOff>
    </xdr:to>
    <xdr:pic>
      <xdr:nvPicPr>
        <xdr:cNvPr id="3" name="Picture 2">
          <a:extLst>
            <a:ext uri="{FF2B5EF4-FFF2-40B4-BE49-F238E27FC236}">
              <a16:creationId xmlns:a16="http://schemas.microsoft.com/office/drawing/2014/main" id="{35FB9714-C15B-4766-BF18-87411FAA50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80960" cy="99761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749808</xdr:colOff>
      <xdr:row>44</xdr:row>
      <xdr:rowOff>69342</xdr:rowOff>
    </xdr:to>
    <xdr:pic>
      <xdr:nvPicPr>
        <xdr:cNvPr id="3" name="Picture 2">
          <a:extLst>
            <a:ext uri="{FF2B5EF4-FFF2-40B4-BE49-F238E27FC236}">
              <a16:creationId xmlns:a16="http://schemas.microsoft.com/office/drawing/2014/main" id="{1B972965-10A3-41AA-B430-0B674A00C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0"/>
          <a:ext cx="7607808" cy="9994392"/>
        </a:xfrm>
        <a:prstGeom prst="rect">
          <a:avLst/>
        </a:prstGeom>
      </xdr:spPr>
    </xdr:pic>
    <xdr:clientData/>
  </xdr:twoCellAnchor>
  <xdr:twoCellAnchor editAs="oneCell">
    <xdr:from>
      <xdr:col>8</xdr:col>
      <xdr:colOff>0</xdr:colOff>
      <xdr:row>0</xdr:row>
      <xdr:rowOff>0</xdr:rowOff>
    </xdr:from>
    <xdr:to>
      <xdr:col>18</xdr:col>
      <xdr:colOff>21336</xdr:colOff>
      <xdr:row>44</xdr:row>
      <xdr:rowOff>78486</xdr:rowOff>
    </xdr:to>
    <xdr:pic>
      <xdr:nvPicPr>
        <xdr:cNvPr id="4" name="Picture 3">
          <a:extLst>
            <a:ext uri="{FF2B5EF4-FFF2-40B4-BE49-F238E27FC236}">
              <a16:creationId xmlns:a16="http://schemas.microsoft.com/office/drawing/2014/main" id="{443A0D21-1AA7-42AE-AE01-0C290BE01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0" y="0"/>
          <a:ext cx="7641336" cy="100035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17</xdr:col>
      <xdr:colOff>42672</xdr:colOff>
      <xdr:row>44</xdr:row>
      <xdr:rowOff>190119</xdr:rowOff>
    </xdr:to>
    <xdr:pic>
      <xdr:nvPicPr>
        <xdr:cNvPr id="3" name="Picture 2">
          <a:extLst>
            <a:ext uri="{FF2B5EF4-FFF2-40B4-BE49-F238E27FC236}">
              <a16:creationId xmlns:a16="http://schemas.microsoft.com/office/drawing/2014/main" id="{8C01E609-6F63-499F-BD6F-6A1715EA6B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38875" y="0"/>
          <a:ext cx="7662672" cy="9991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17</xdr:col>
      <xdr:colOff>12192</xdr:colOff>
      <xdr:row>27</xdr:row>
      <xdr:rowOff>47244</xdr:rowOff>
    </xdr:to>
    <xdr:pic>
      <xdr:nvPicPr>
        <xdr:cNvPr id="3" name="Picture 2">
          <a:extLst>
            <a:ext uri="{FF2B5EF4-FFF2-40B4-BE49-F238E27FC236}">
              <a16:creationId xmlns:a16="http://schemas.microsoft.com/office/drawing/2014/main" id="{07BE35F4-0D04-4086-BC76-312E8191D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8425" y="0"/>
          <a:ext cx="7632192" cy="9991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17</xdr:row>
      <xdr:rowOff>182276</xdr:rowOff>
    </xdr:from>
    <xdr:to>
      <xdr:col>7</xdr:col>
      <xdr:colOff>47625</xdr:colOff>
      <xdr:row>32</xdr:row>
      <xdr:rowOff>9049</xdr:rowOff>
    </xdr:to>
    <xdr:pic>
      <xdr:nvPicPr>
        <xdr:cNvPr id="2" name="Picture 1">
          <a:extLst>
            <a:ext uri="{FF2B5EF4-FFF2-40B4-BE49-F238E27FC236}">
              <a16:creationId xmlns:a16="http://schemas.microsoft.com/office/drawing/2014/main" id="{00F947A7-2C2C-45D5-A36A-1CCD0F40A7D6}"/>
            </a:ext>
          </a:extLst>
        </xdr:cNvPr>
        <xdr:cNvPicPr>
          <a:picLocks noChangeAspect="1"/>
        </xdr:cNvPicPr>
      </xdr:nvPicPr>
      <xdr:blipFill>
        <a:blip xmlns:r="http://schemas.openxmlformats.org/officeDocument/2006/relationships" r:embed="rId1"/>
        <a:stretch>
          <a:fillRect/>
        </a:stretch>
      </xdr:blipFill>
      <xdr:spPr>
        <a:xfrm>
          <a:off x="180975" y="3249326"/>
          <a:ext cx="4657725" cy="2827148"/>
        </a:xfrm>
        <a:prstGeom prst="rect">
          <a:avLst/>
        </a:prstGeom>
      </xdr:spPr>
    </xdr:pic>
    <xdr:clientData/>
  </xdr:twoCellAnchor>
  <xdr:twoCellAnchor editAs="oneCell">
    <xdr:from>
      <xdr:col>7</xdr:col>
      <xdr:colOff>66675</xdr:colOff>
      <xdr:row>19</xdr:row>
      <xdr:rowOff>180975</xdr:rowOff>
    </xdr:from>
    <xdr:to>
      <xdr:col>13</xdr:col>
      <xdr:colOff>596228</xdr:colOff>
      <xdr:row>31</xdr:row>
      <xdr:rowOff>161925</xdr:rowOff>
    </xdr:to>
    <xdr:pic>
      <xdr:nvPicPr>
        <xdr:cNvPr id="3" name="Picture 2">
          <a:extLst>
            <a:ext uri="{FF2B5EF4-FFF2-40B4-BE49-F238E27FC236}">
              <a16:creationId xmlns:a16="http://schemas.microsoft.com/office/drawing/2014/main" id="{00D3E25C-39C9-4C14-9472-F201D464DDDC}"/>
            </a:ext>
          </a:extLst>
        </xdr:cNvPr>
        <xdr:cNvPicPr>
          <a:picLocks noChangeAspect="1"/>
        </xdr:cNvPicPr>
      </xdr:nvPicPr>
      <xdr:blipFill>
        <a:blip xmlns:r="http://schemas.openxmlformats.org/officeDocument/2006/relationships" r:embed="rId2"/>
        <a:stretch>
          <a:fillRect/>
        </a:stretch>
      </xdr:blipFill>
      <xdr:spPr>
        <a:xfrm>
          <a:off x="4857750" y="3648075"/>
          <a:ext cx="5101553" cy="2381250"/>
        </a:xfrm>
        <a:prstGeom prst="rect">
          <a:avLst/>
        </a:prstGeom>
      </xdr:spPr>
    </xdr:pic>
    <xdr:clientData/>
  </xdr:twoCellAnchor>
  <xdr:twoCellAnchor editAs="oneCell">
    <xdr:from>
      <xdr:col>0</xdr:col>
      <xdr:colOff>123826</xdr:colOff>
      <xdr:row>45</xdr:row>
      <xdr:rowOff>35479</xdr:rowOff>
    </xdr:from>
    <xdr:to>
      <xdr:col>6</xdr:col>
      <xdr:colOff>628651</xdr:colOff>
      <xdr:row>56</xdr:row>
      <xdr:rowOff>9246</xdr:rowOff>
    </xdr:to>
    <xdr:pic>
      <xdr:nvPicPr>
        <xdr:cNvPr id="4" name="Picture 3">
          <a:extLst>
            <a:ext uri="{FF2B5EF4-FFF2-40B4-BE49-F238E27FC236}">
              <a16:creationId xmlns:a16="http://schemas.microsoft.com/office/drawing/2014/main" id="{F092D9D6-C660-4551-8951-D61A3C5AD351}"/>
            </a:ext>
          </a:extLst>
        </xdr:cNvPr>
        <xdr:cNvPicPr>
          <a:picLocks noChangeAspect="1"/>
        </xdr:cNvPicPr>
      </xdr:nvPicPr>
      <xdr:blipFill>
        <a:blip xmlns:r="http://schemas.openxmlformats.org/officeDocument/2006/relationships" r:embed="rId3"/>
        <a:stretch>
          <a:fillRect/>
        </a:stretch>
      </xdr:blipFill>
      <xdr:spPr>
        <a:xfrm>
          <a:off x="123826" y="8703229"/>
          <a:ext cx="4533900" cy="2174042"/>
        </a:xfrm>
        <a:prstGeom prst="rect">
          <a:avLst/>
        </a:prstGeom>
      </xdr:spPr>
    </xdr:pic>
    <xdr:clientData/>
  </xdr:twoCellAnchor>
  <xdr:twoCellAnchor editAs="oneCell">
    <xdr:from>
      <xdr:col>7</xdr:col>
      <xdr:colOff>47626</xdr:colOff>
      <xdr:row>44</xdr:row>
      <xdr:rowOff>92161</xdr:rowOff>
    </xdr:from>
    <xdr:to>
      <xdr:col>13</xdr:col>
      <xdr:colOff>485776</xdr:colOff>
      <xdr:row>55</xdr:row>
      <xdr:rowOff>85725</xdr:rowOff>
    </xdr:to>
    <xdr:pic>
      <xdr:nvPicPr>
        <xdr:cNvPr id="5" name="Picture 4">
          <a:extLst>
            <a:ext uri="{FF2B5EF4-FFF2-40B4-BE49-F238E27FC236}">
              <a16:creationId xmlns:a16="http://schemas.microsoft.com/office/drawing/2014/main" id="{8C937E06-2507-4B4E-A291-753076CAB341}"/>
            </a:ext>
          </a:extLst>
        </xdr:cNvPr>
        <xdr:cNvPicPr>
          <a:picLocks noChangeAspect="1"/>
        </xdr:cNvPicPr>
      </xdr:nvPicPr>
      <xdr:blipFill>
        <a:blip xmlns:r="http://schemas.openxmlformats.org/officeDocument/2006/relationships" r:embed="rId4"/>
        <a:stretch>
          <a:fillRect/>
        </a:stretch>
      </xdr:blipFill>
      <xdr:spPr>
        <a:xfrm>
          <a:off x="4838701" y="8559886"/>
          <a:ext cx="5010150" cy="2193839"/>
        </a:xfrm>
        <a:prstGeom prst="rect">
          <a:avLst/>
        </a:prstGeom>
      </xdr:spPr>
    </xdr:pic>
    <xdr:clientData/>
  </xdr:twoCellAnchor>
  <xdr:twoCellAnchor editAs="oneCell">
    <xdr:from>
      <xdr:col>1</xdr:col>
      <xdr:colOff>9524</xdr:colOff>
      <xdr:row>84</xdr:row>
      <xdr:rowOff>65082</xdr:rowOff>
    </xdr:from>
    <xdr:to>
      <xdr:col>8</xdr:col>
      <xdr:colOff>666749</xdr:colOff>
      <xdr:row>108</xdr:row>
      <xdr:rowOff>104257</xdr:rowOff>
    </xdr:to>
    <xdr:pic>
      <xdr:nvPicPr>
        <xdr:cNvPr id="6" name="Picture 5">
          <a:extLst>
            <a:ext uri="{FF2B5EF4-FFF2-40B4-BE49-F238E27FC236}">
              <a16:creationId xmlns:a16="http://schemas.microsoft.com/office/drawing/2014/main" id="{6EB33ADD-9CEA-4EA9-A566-46C3398F6773}"/>
            </a:ext>
          </a:extLst>
        </xdr:cNvPr>
        <xdr:cNvPicPr>
          <a:picLocks noChangeAspect="1"/>
        </xdr:cNvPicPr>
      </xdr:nvPicPr>
      <xdr:blipFill>
        <a:blip xmlns:r="http://schemas.openxmlformats.org/officeDocument/2006/relationships" r:embed="rId5"/>
        <a:stretch>
          <a:fillRect/>
        </a:stretch>
      </xdr:blipFill>
      <xdr:spPr>
        <a:xfrm>
          <a:off x="304799" y="16295682"/>
          <a:ext cx="5915025" cy="4611175"/>
        </a:xfrm>
        <a:prstGeom prst="rect">
          <a:avLst/>
        </a:prstGeom>
      </xdr:spPr>
    </xdr:pic>
    <xdr:clientData/>
  </xdr:twoCellAnchor>
  <xdr:twoCellAnchor editAs="oneCell">
    <xdr:from>
      <xdr:col>1</xdr:col>
      <xdr:colOff>9525</xdr:colOff>
      <xdr:row>62</xdr:row>
      <xdr:rowOff>170419</xdr:rowOff>
    </xdr:from>
    <xdr:to>
      <xdr:col>8</xdr:col>
      <xdr:colOff>676275</xdr:colOff>
      <xdr:row>84</xdr:row>
      <xdr:rowOff>104305</xdr:rowOff>
    </xdr:to>
    <xdr:pic>
      <xdr:nvPicPr>
        <xdr:cNvPr id="7" name="Picture 6">
          <a:extLst>
            <a:ext uri="{FF2B5EF4-FFF2-40B4-BE49-F238E27FC236}">
              <a16:creationId xmlns:a16="http://schemas.microsoft.com/office/drawing/2014/main" id="{E75D05E8-0414-4879-80B7-626540B6FDA7}"/>
            </a:ext>
          </a:extLst>
        </xdr:cNvPr>
        <xdr:cNvPicPr>
          <a:picLocks noChangeAspect="1"/>
        </xdr:cNvPicPr>
      </xdr:nvPicPr>
      <xdr:blipFill>
        <a:blip xmlns:r="http://schemas.openxmlformats.org/officeDocument/2006/relationships" r:embed="rId6"/>
        <a:stretch>
          <a:fillRect/>
        </a:stretch>
      </xdr:blipFill>
      <xdr:spPr>
        <a:xfrm>
          <a:off x="304800" y="12152869"/>
          <a:ext cx="5924550" cy="4182036"/>
        </a:xfrm>
        <a:prstGeom prst="rect">
          <a:avLst/>
        </a:prstGeom>
      </xdr:spPr>
    </xdr:pic>
    <xdr:clientData/>
  </xdr:twoCellAnchor>
  <xdr:twoCellAnchor editAs="oneCell">
    <xdr:from>
      <xdr:col>1</xdr:col>
      <xdr:colOff>0</xdr:colOff>
      <xdr:row>108</xdr:row>
      <xdr:rowOff>104155</xdr:rowOff>
    </xdr:from>
    <xdr:to>
      <xdr:col>8</xdr:col>
      <xdr:colOff>666750</xdr:colOff>
      <xdr:row>140</xdr:row>
      <xdr:rowOff>123137</xdr:rowOff>
    </xdr:to>
    <xdr:pic>
      <xdr:nvPicPr>
        <xdr:cNvPr id="8" name="Picture 7">
          <a:extLst>
            <a:ext uri="{FF2B5EF4-FFF2-40B4-BE49-F238E27FC236}">
              <a16:creationId xmlns:a16="http://schemas.microsoft.com/office/drawing/2014/main" id="{BB82EF6B-ABD1-4221-B1B6-9FE7CD8D13FC}"/>
            </a:ext>
          </a:extLst>
        </xdr:cNvPr>
        <xdr:cNvPicPr>
          <a:picLocks noChangeAspect="1"/>
        </xdr:cNvPicPr>
      </xdr:nvPicPr>
      <xdr:blipFill>
        <a:blip xmlns:r="http://schemas.openxmlformats.org/officeDocument/2006/relationships" r:embed="rId7"/>
        <a:stretch>
          <a:fillRect/>
        </a:stretch>
      </xdr:blipFill>
      <xdr:spPr>
        <a:xfrm>
          <a:off x="295275" y="20906755"/>
          <a:ext cx="5924550" cy="6114982"/>
        </a:xfrm>
        <a:prstGeom prst="rect">
          <a:avLst/>
        </a:prstGeom>
      </xdr:spPr>
    </xdr:pic>
    <xdr:clientData/>
  </xdr:twoCellAnchor>
  <xdr:twoCellAnchor editAs="oneCell">
    <xdr:from>
      <xdr:col>0</xdr:col>
      <xdr:colOff>285749</xdr:colOff>
      <xdr:row>140</xdr:row>
      <xdr:rowOff>92320</xdr:rowOff>
    </xdr:from>
    <xdr:to>
      <xdr:col>8</xdr:col>
      <xdr:colOff>647699</xdr:colOff>
      <xdr:row>181</xdr:row>
      <xdr:rowOff>189608</xdr:rowOff>
    </xdr:to>
    <xdr:pic>
      <xdr:nvPicPr>
        <xdr:cNvPr id="9" name="Picture 8">
          <a:extLst>
            <a:ext uri="{FF2B5EF4-FFF2-40B4-BE49-F238E27FC236}">
              <a16:creationId xmlns:a16="http://schemas.microsoft.com/office/drawing/2014/main" id="{00D34B70-7CA6-48D3-A166-B0AF9C355F25}"/>
            </a:ext>
          </a:extLst>
        </xdr:cNvPr>
        <xdr:cNvPicPr>
          <a:picLocks noChangeAspect="1"/>
        </xdr:cNvPicPr>
      </xdr:nvPicPr>
      <xdr:blipFill>
        <a:blip xmlns:r="http://schemas.openxmlformats.org/officeDocument/2006/relationships" r:embed="rId8"/>
        <a:stretch>
          <a:fillRect/>
        </a:stretch>
      </xdr:blipFill>
      <xdr:spPr>
        <a:xfrm>
          <a:off x="285749" y="26990920"/>
          <a:ext cx="5915025" cy="7907788"/>
        </a:xfrm>
        <a:prstGeom prst="rect">
          <a:avLst/>
        </a:prstGeom>
      </xdr:spPr>
    </xdr:pic>
    <xdr:clientData/>
  </xdr:twoCellAnchor>
  <xdr:twoCellAnchor editAs="oneCell">
    <xdr:from>
      <xdr:col>1</xdr:col>
      <xdr:colOff>0</xdr:colOff>
      <xdr:row>181</xdr:row>
      <xdr:rowOff>165483</xdr:rowOff>
    </xdr:from>
    <xdr:to>
      <xdr:col>8</xdr:col>
      <xdr:colOff>657225</xdr:colOff>
      <xdr:row>212</xdr:row>
      <xdr:rowOff>37450</xdr:rowOff>
    </xdr:to>
    <xdr:pic>
      <xdr:nvPicPr>
        <xdr:cNvPr id="10" name="Picture 9">
          <a:extLst>
            <a:ext uri="{FF2B5EF4-FFF2-40B4-BE49-F238E27FC236}">
              <a16:creationId xmlns:a16="http://schemas.microsoft.com/office/drawing/2014/main" id="{B18AD0B2-5201-4349-A732-23811032E586}"/>
            </a:ext>
          </a:extLst>
        </xdr:cNvPr>
        <xdr:cNvPicPr>
          <a:picLocks noChangeAspect="1"/>
        </xdr:cNvPicPr>
      </xdr:nvPicPr>
      <xdr:blipFill>
        <a:blip xmlns:r="http://schemas.openxmlformats.org/officeDocument/2006/relationships" r:embed="rId9"/>
        <a:stretch>
          <a:fillRect/>
        </a:stretch>
      </xdr:blipFill>
      <xdr:spPr>
        <a:xfrm>
          <a:off x="295275" y="34874583"/>
          <a:ext cx="5915025" cy="577746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Alice.Smith@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0.bin"/><Relationship Id="rId1" Type="http://schemas.openxmlformats.org/officeDocument/2006/relationships/hyperlink" Target="https://pooledmoneyinvestmentboard.com/"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62F02-214A-44A4-B393-0C1612D1BE80}">
  <sheetPr codeName="Sheet1">
    <tabColor rgb="FFC00000"/>
  </sheetPr>
  <dimension ref="B1:B109"/>
  <sheetViews>
    <sheetView topLeftCell="A94" zoomScaleNormal="100" workbookViewId="0">
      <selection activeCell="F5" sqref="F5"/>
    </sheetView>
  </sheetViews>
  <sheetFormatPr defaultColWidth="8.9140625" defaultRowHeight="15.5" x14ac:dyDescent="0.25"/>
  <cols>
    <col min="1" max="1" width="1.25" style="24" customWidth="1"/>
    <col min="2" max="2" width="84.6640625" style="25" customWidth="1"/>
    <col min="3" max="16384" width="8.9140625" style="24"/>
  </cols>
  <sheetData>
    <row r="1" spans="2:2" ht="39" customHeight="1" x14ac:dyDescent="0.25">
      <c r="B1" s="548" t="s">
        <v>567</v>
      </c>
    </row>
    <row r="2" spans="2:2" ht="13" customHeight="1" x14ac:dyDescent="0.25"/>
    <row r="3" spans="2:2" ht="34.5" customHeight="1" x14ac:dyDescent="0.25">
      <c r="B3" s="25" t="s">
        <v>547</v>
      </c>
    </row>
    <row r="4" spans="2:2" ht="13" customHeight="1" x14ac:dyDescent="0.25"/>
    <row r="5" spans="2:2" ht="66" customHeight="1" x14ac:dyDescent="0.25">
      <c r="B5" s="25" t="s">
        <v>568</v>
      </c>
    </row>
    <row r="6" spans="2:2" ht="14.5" customHeight="1" x14ac:dyDescent="0.25"/>
    <row r="7" spans="2:2" ht="25.5" customHeight="1" x14ac:dyDescent="0.25">
      <c r="B7" s="549" t="s">
        <v>569</v>
      </c>
    </row>
    <row r="8" spans="2:2" ht="13" customHeight="1" x14ac:dyDescent="0.25"/>
    <row r="9" spans="2:2" ht="93" x14ac:dyDescent="0.25">
      <c r="B9" s="25" t="s">
        <v>963</v>
      </c>
    </row>
    <row r="10" spans="2:2" ht="13" customHeight="1" x14ac:dyDescent="0.25"/>
    <row r="11" spans="2:2" ht="31" x14ac:dyDescent="0.25">
      <c r="B11" s="25" t="s">
        <v>570</v>
      </c>
    </row>
    <row r="12" spans="2:2" ht="15" customHeight="1" x14ac:dyDescent="0.25"/>
    <row r="13" spans="2:2" ht="25.5" customHeight="1" x14ac:dyDescent="0.25">
      <c r="B13" s="549" t="s">
        <v>571</v>
      </c>
    </row>
    <row r="14" spans="2:2" ht="13" customHeight="1" x14ac:dyDescent="0.25"/>
    <row r="15" spans="2:2" ht="39.75" customHeight="1" x14ac:dyDescent="0.25">
      <c r="B15" s="25" t="s">
        <v>572</v>
      </c>
    </row>
    <row r="16" spans="2:2" ht="13" customHeight="1" x14ac:dyDescent="0.25"/>
    <row r="17" spans="2:2" x14ac:dyDescent="0.25">
      <c r="B17" s="550" t="s">
        <v>573</v>
      </c>
    </row>
    <row r="18" spans="2:2" ht="13" customHeight="1" x14ac:dyDescent="0.25">
      <c r="B18" s="550"/>
    </row>
    <row r="19" spans="2:2" x14ac:dyDescent="0.25">
      <c r="B19" s="25" t="s">
        <v>574</v>
      </c>
    </row>
    <row r="20" spans="2:2" ht="13" customHeight="1" x14ac:dyDescent="0.25"/>
    <row r="21" spans="2:2" ht="67.5" customHeight="1" x14ac:dyDescent="0.25">
      <c r="B21" s="25" t="s">
        <v>575</v>
      </c>
    </row>
    <row r="22" spans="2:2" ht="13" customHeight="1" x14ac:dyDescent="0.25">
      <c r="B22" s="551"/>
    </row>
    <row r="23" spans="2:2" ht="15.75" customHeight="1" x14ac:dyDescent="0.25">
      <c r="B23" s="25" t="s">
        <v>576</v>
      </c>
    </row>
    <row r="24" spans="2:2" ht="13" customHeight="1" x14ac:dyDescent="0.25">
      <c r="B24" s="551"/>
    </row>
    <row r="25" spans="2:2" ht="15.75" customHeight="1" x14ac:dyDescent="0.25">
      <c r="B25" s="25" t="s">
        <v>577</v>
      </c>
    </row>
    <row r="26" spans="2:2" ht="13" customHeight="1" x14ac:dyDescent="0.25"/>
    <row r="27" spans="2:2" ht="49.5" customHeight="1" x14ac:dyDescent="0.25">
      <c r="B27" s="25" t="s">
        <v>578</v>
      </c>
    </row>
    <row r="28" spans="2:2" ht="13" customHeight="1" x14ac:dyDescent="0.25"/>
    <row r="29" spans="2:2" ht="25.5" customHeight="1" x14ac:dyDescent="0.25">
      <c r="B29" s="549" t="s">
        <v>579</v>
      </c>
    </row>
    <row r="30" spans="2:2" ht="13" customHeight="1" x14ac:dyDescent="0.25">
      <c r="B30" s="552"/>
    </row>
    <row r="31" spans="2:2" ht="50.25" customHeight="1" x14ac:dyDescent="0.25">
      <c r="B31" s="25" t="s">
        <v>580</v>
      </c>
    </row>
    <row r="32" spans="2:2" ht="13" customHeight="1" x14ac:dyDescent="0.25"/>
    <row r="33" spans="2:2" ht="49.5" customHeight="1" x14ac:dyDescent="0.25">
      <c r="B33" s="305" t="s">
        <v>581</v>
      </c>
    </row>
    <row r="34" spans="2:2" ht="39.75" customHeight="1" x14ac:dyDescent="0.25">
      <c r="B34" s="553" t="s">
        <v>582</v>
      </c>
    </row>
    <row r="35" spans="2:2" ht="60.75" customHeight="1" x14ac:dyDescent="0.25">
      <c r="B35" s="553" t="s">
        <v>583</v>
      </c>
    </row>
    <row r="36" spans="2:2" ht="61.5" customHeight="1" x14ac:dyDescent="0.25">
      <c r="B36" s="553" t="s">
        <v>584</v>
      </c>
    </row>
    <row r="37" spans="2:2" ht="41.25" customHeight="1" x14ac:dyDescent="0.25">
      <c r="B37" s="553" t="s">
        <v>585</v>
      </c>
    </row>
    <row r="38" spans="2:2" ht="13" customHeight="1" x14ac:dyDescent="0.25"/>
    <row r="39" spans="2:2" ht="52.5" customHeight="1" x14ac:dyDescent="0.25">
      <c r="B39" s="305" t="s">
        <v>586</v>
      </c>
    </row>
    <row r="40" spans="2:2" ht="27.75" customHeight="1" x14ac:dyDescent="0.25">
      <c r="B40" s="553" t="s">
        <v>587</v>
      </c>
    </row>
    <row r="41" spans="2:2" ht="57" customHeight="1" x14ac:dyDescent="0.25">
      <c r="B41" s="553" t="s">
        <v>588</v>
      </c>
    </row>
    <row r="42" spans="2:2" ht="105" customHeight="1" x14ac:dyDescent="0.25">
      <c r="B42" s="553" t="s">
        <v>589</v>
      </c>
    </row>
    <row r="43" spans="2:2" s="25" customFormat="1" ht="13" customHeight="1" x14ac:dyDescent="0.25"/>
    <row r="44" spans="2:2" ht="46.5" x14ac:dyDescent="0.25">
      <c r="B44" s="305" t="s">
        <v>590</v>
      </c>
    </row>
    <row r="45" spans="2:2" ht="66.75" customHeight="1" x14ac:dyDescent="0.25">
      <c r="B45" s="305" t="s">
        <v>591</v>
      </c>
    </row>
    <row r="46" spans="2:2" ht="72.75" customHeight="1" x14ac:dyDescent="0.25">
      <c r="B46" s="553" t="s">
        <v>592</v>
      </c>
    </row>
    <row r="47" spans="2:2" ht="108" customHeight="1" x14ac:dyDescent="0.25">
      <c r="B47" s="553" t="s">
        <v>593</v>
      </c>
    </row>
    <row r="48" spans="2:2" ht="95.25" customHeight="1" x14ac:dyDescent="0.25">
      <c r="B48" s="553" t="s">
        <v>594</v>
      </c>
    </row>
    <row r="49" spans="2:2" ht="13" customHeight="1" x14ac:dyDescent="0.25"/>
    <row r="50" spans="2:2" ht="62" x14ac:dyDescent="0.25">
      <c r="B50" s="305" t="s">
        <v>595</v>
      </c>
    </row>
    <row r="51" spans="2:2" ht="38.25" customHeight="1" x14ac:dyDescent="0.25">
      <c r="B51" s="553" t="s">
        <v>596</v>
      </c>
    </row>
    <row r="52" spans="2:2" ht="34.5" customHeight="1" x14ac:dyDescent="0.25">
      <c r="B52" s="553" t="s">
        <v>597</v>
      </c>
    </row>
    <row r="53" spans="2:2" ht="13" customHeight="1" x14ac:dyDescent="0.25"/>
    <row r="54" spans="2:2" ht="71.25" customHeight="1" x14ac:dyDescent="0.25">
      <c r="B54" s="305" t="s">
        <v>598</v>
      </c>
    </row>
    <row r="55" spans="2:2" ht="21.75" customHeight="1" x14ac:dyDescent="0.25">
      <c r="B55" s="553" t="s">
        <v>599</v>
      </c>
    </row>
    <row r="56" spans="2:2" ht="13" customHeight="1" x14ac:dyDescent="0.25">
      <c r="B56" s="554"/>
    </row>
    <row r="57" spans="2:2" ht="57.75" customHeight="1" x14ac:dyDescent="0.25">
      <c r="B57" s="305" t="s">
        <v>600</v>
      </c>
    </row>
    <row r="58" spans="2:2" ht="41.25" customHeight="1" x14ac:dyDescent="0.25">
      <c r="B58" s="553" t="s">
        <v>601</v>
      </c>
    </row>
    <row r="59" spans="2:2" ht="72" customHeight="1" x14ac:dyDescent="0.25">
      <c r="B59" s="553" t="s">
        <v>602</v>
      </c>
    </row>
    <row r="60" spans="2:2" ht="27" customHeight="1" x14ac:dyDescent="0.25">
      <c r="B60" s="553" t="s">
        <v>603</v>
      </c>
    </row>
    <row r="61" spans="2:2" ht="44.25" customHeight="1" x14ac:dyDescent="0.25">
      <c r="B61" s="553" t="s">
        <v>604</v>
      </c>
    </row>
    <row r="62" spans="2:2" ht="13" customHeight="1" x14ac:dyDescent="0.25"/>
    <row r="63" spans="2:2" ht="38.25" customHeight="1" x14ac:dyDescent="0.25">
      <c r="B63" s="305" t="s">
        <v>605</v>
      </c>
    </row>
    <row r="64" spans="2:2" s="555" customFormat="1" ht="30.75" customHeight="1" x14ac:dyDescent="0.25">
      <c r="B64" s="553" t="s">
        <v>606</v>
      </c>
    </row>
    <row r="65" spans="2:2" ht="13" customHeight="1" x14ac:dyDescent="0.25"/>
    <row r="66" spans="2:2" ht="52.5" customHeight="1" x14ac:dyDescent="0.25">
      <c r="B66" s="305" t="s">
        <v>607</v>
      </c>
    </row>
    <row r="67" spans="2:2" s="555" customFormat="1" ht="39.75" customHeight="1" x14ac:dyDescent="0.25">
      <c r="B67" s="553" t="s">
        <v>608</v>
      </c>
    </row>
    <row r="68" spans="2:2" ht="13" customHeight="1" x14ac:dyDescent="0.25"/>
    <row r="69" spans="2:2" ht="68.25" customHeight="1" x14ac:dyDescent="0.25">
      <c r="B69" s="305" t="s">
        <v>609</v>
      </c>
    </row>
    <row r="70" spans="2:2" ht="57" customHeight="1" x14ac:dyDescent="0.25">
      <c r="B70" s="553" t="s">
        <v>610</v>
      </c>
    </row>
    <row r="71" spans="2:2" ht="44.25" customHeight="1" x14ac:dyDescent="0.25">
      <c r="B71" s="553" t="s">
        <v>611</v>
      </c>
    </row>
    <row r="72" spans="2:2" ht="13" customHeight="1" x14ac:dyDescent="0.25"/>
    <row r="73" spans="2:2" ht="77.5" x14ac:dyDescent="0.25">
      <c r="B73" s="305" t="s">
        <v>612</v>
      </c>
    </row>
    <row r="74" spans="2:2" ht="72.75" customHeight="1" x14ac:dyDescent="0.25">
      <c r="B74" s="553" t="s">
        <v>613</v>
      </c>
    </row>
    <row r="75" spans="2:2" ht="90" customHeight="1" x14ac:dyDescent="0.25">
      <c r="B75" s="553" t="s">
        <v>614</v>
      </c>
    </row>
    <row r="76" spans="2:2" ht="70.5" customHeight="1" x14ac:dyDescent="0.25">
      <c r="B76" s="553" t="s">
        <v>615</v>
      </c>
    </row>
    <row r="77" spans="2:2" ht="87" customHeight="1" x14ac:dyDescent="0.25">
      <c r="B77" s="553" t="s">
        <v>616</v>
      </c>
    </row>
    <row r="78" spans="2:2" ht="124" x14ac:dyDescent="0.25">
      <c r="B78" s="553" t="s">
        <v>617</v>
      </c>
    </row>
    <row r="79" spans="2:2" ht="55.5" customHeight="1" x14ac:dyDescent="0.25">
      <c r="B79" s="553" t="s">
        <v>618</v>
      </c>
    </row>
    <row r="80" spans="2:2" ht="96.75" customHeight="1" x14ac:dyDescent="0.25">
      <c r="B80" s="553" t="s">
        <v>619</v>
      </c>
    </row>
    <row r="81" spans="2:2" ht="111.75" customHeight="1" x14ac:dyDescent="0.25">
      <c r="B81" s="553" t="s">
        <v>620</v>
      </c>
    </row>
    <row r="82" spans="2:2" ht="123.75" customHeight="1" x14ac:dyDescent="0.25">
      <c r="B82" s="553" t="s">
        <v>621</v>
      </c>
    </row>
    <row r="83" spans="2:2" ht="26.25" customHeight="1" x14ac:dyDescent="0.25">
      <c r="B83" s="553" t="s">
        <v>622</v>
      </c>
    </row>
    <row r="84" spans="2:2" ht="57.75" customHeight="1" x14ac:dyDescent="0.25">
      <c r="B84" s="553" t="s">
        <v>623</v>
      </c>
    </row>
    <row r="85" spans="2:2" ht="57.75" customHeight="1" x14ac:dyDescent="0.25">
      <c r="B85" s="553" t="s">
        <v>624</v>
      </c>
    </row>
    <row r="86" spans="2:2" ht="91.5" customHeight="1" x14ac:dyDescent="0.25">
      <c r="B86" s="553" t="s">
        <v>625</v>
      </c>
    </row>
    <row r="87" spans="2:2" ht="75" customHeight="1" x14ac:dyDescent="0.25">
      <c r="B87" s="553" t="s">
        <v>626</v>
      </c>
    </row>
    <row r="88" spans="2:2" ht="69" customHeight="1" x14ac:dyDescent="0.25">
      <c r="B88" s="553" t="s">
        <v>627</v>
      </c>
    </row>
    <row r="89" spans="2:2" ht="39" customHeight="1" x14ac:dyDescent="0.25">
      <c r="B89" s="553" t="s">
        <v>628</v>
      </c>
    </row>
    <row r="90" spans="2:2" ht="13" customHeight="1" x14ac:dyDescent="0.25"/>
    <row r="91" spans="2:2" ht="62" x14ac:dyDescent="0.25">
      <c r="B91" s="305" t="s">
        <v>629</v>
      </c>
    </row>
    <row r="92" spans="2:2" ht="75.75" customHeight="1" x14ac:dyDescent="0.25">
      <c r="B92" s="553" t="s">
        <v>630</v>
      </c>
    </row>
    <row r="93" spans="2:2" ht="23.25" customHeight="1" x14ac:dyDescent="0.25">
      <c r="B93" s="553" t="s">
        <v>631</v>
      </c>
    </row>
    <row r="94" spans="2:2" ht="27" customHeight="1" x14ac:dyDescent="0.25">
      <c r="B94" s="553" t="s">
        <v>632</v>
      </c>
    </row>
    <row r="95" spans="2:2" ht="42" customHeight="1" x14ac:dyDescent="0.25">
      <c r="B95" s="556" t="s">
        <v>633</v>
      </c>
    </row>
    <row r="96" spans="2:2" ht="108" customHeight="1" x14ac:dyDescent="0.25">
      <c r="B96" s="556" t="s">
        <v>634</v>
      </c>
    </row>
    <row r="97" spans="2:2" ht="88.5" customHeight="1" x14ac:dyDescent="0.25">
      <c r="B97" s="556" t="s">
        <v>635</v>
      </c>
    </row>
    <row r="98" spans="2:2" ht="98.25" customHeight="1" x14ac:dyDescent="0.25">
      <c r="B98" s="553" t="s">
        <v>636</v>
      </c>
    </row>
    <row r="99" spans="2:2" ht="68.25" customHeight="1" x14ac:dyDescent="0.25">
      <c r="B99" s="553" t="s">
        <v>637</v>
      </c>
    </row>
    <row r="100" spans="2:2" ht="13" customHeight="1" x14ac:dyDescent="0.25"/>
    <row r="101" spans="2:2" ht="108.5" x14ac:dyDescent="0.25">
      <c r="B101" s="305" t="s">
        <v>638</v>
      </c>
    </row>
    <row r="102" spans="2:2" ht="93" x14ac:dyDescent="0.25">
      <c r="B102" s="557" t="s">
        <v>639</v>
      </c>
    </row>
    <row r="103" spans="2:2" ht="62" x14ac:dyDescent="0.25">
      <c r="B103" s="553" t="s">
        <v>640</v>
      </c>
    </row>
    <row r="104" spans="2:2" ht="39.75" customHeight="1" x14ac:dyDescent="0.25">
      <c r="B104" s="553" t="s">
        <v>641</v>
      </c>
    </row>
    <row r="105" spans="2:2" ht="13" customHeight="1" x14ac:dyDescent="0.25">
      <c r="B105" s="24"/>
    </row>
    <row r="106" spans="2:2" ht="62" x14ac:dyDescent="0.25">
      <c r="B106" s="305" t="s">
        <v>642</v>
      </c>
    </row>
    <row r="107" spans="2:2" ht="13" customHeight="1" x14ac:dyDescent="0.25">
      <c r="B107" s="24"/>
    </row>
    <row r="108" spans="2:2" ht="46.5" x14ac:dyDescent="0.25">
      <c r="B108" s="305" t="s">
        <v>643</v>
      </c>
    </row>
    <row r="109" spans="2:2" x14ac:dyDescent="0.25">
      <c r="B109" s="24"/>
    </row>
  </sheetData>
  <sheetProtection sheet="1" objects="1" scenarios="1"/>
  <pageMargins left="0.5" right="0.5" top="0.25" bottom="0.5" header="0.5" footer="0.25"/>
  <pageSetup scale="85" fitToHeight="2" orientation="portrait" blackAndWhite="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68"/>
  <sheetViews>
    <sheetView workbookViewId="0">
      <selection activeCell="E97" sqref="E97"/>
    </sheetView>
  </sheetViews>
  <sheetFormatPr defaultColWidth="8.9140625" defaultRowHeight="12.5" x14ac:dyDescent="0.25"/>
  <cols>
    <col min="1" max="1" width="70.58203125" style="64" customWidth="1"/>
    <col min="2" max="16384" width="8.9140625" style="64"/>
  </cols>
  <sheetData>
    <row r="1" spans="1:1" ht="17.5" x14ac:dyDescent="0.25">
      <c r="A1" s="304" t="s">
        <v>244</v>
      </c>
    </row>
    <row r="2" spans="1:1" ht="17.5" x14ac:dyDescent="0.25">
      <c r="A2" s="304"/>
    </row>
    <row r="3" spans="1:1" ht="17.5" x14ac:dyDescent="0.25">
      <c r="A3" s="304"/>
    </row>
    <row r="4" spans="1:1" ht="51.75" customHeight="1" x14ac:dyDescent="0.3">
      <c r="A4" s="312" t="s">
        <v>334</v>
      </c>
    </row>
    <row r="5" spans="1:1" ht="17.5" x14ac:dyDescent="0.25">
      <c r="A5" s="304"/>
    </row>
    <row r="6" spans="1:1" ht="15.5" x14ac:dyDescent="0.25">
      <c r="A6" s="24"/>
    </row>
    <row r="7" spans="1:1" ht="46.5" x14ac:dyDescent="0.25">
      <c r="A7" s="305" t="s">
        <v>245</v>
      </c>
    </row>
    <row r="8" spans="1:1" ht="15.5" x14ac:dyDescent="0.25">
      <c r="A8" s="24"/>
    </row>
    <row r="9" spans="1:1" ht="15.5" x14ac:dyDescent="0.25">
      <c r="A9" s="24"/>
    </row>
    <row r="10" spans="1:1" ht="77" x14ac:dyDescent="0.25">
      <c r="A10" s="305" t="s">
        <v>246</v>
      </c>
    </row>
    <row r="11" spans="1:1" ht="15.5" x14ac:dyDescent="0.25">
      <c r="A11" s="306"/>
    </row>
    <row r="12" spans="1:1" ht="15.5" x14ac:dyDescent="0.25">
      <c r="A12" s="24"/>
    </row>
    <row r="13" spans="1:1" ht="46.5" x14ac:dyDescent="0.25">
      <c r="A13" s="305" t="s">
        <v>247</v>
      </c>
    </row>
    <row r="14" spans="1:1" ht="15.5" x14ac:dyDescent="0.25">
      <c r="A14" s="306"/>
    </row>
    <row r="15" spans="1:1" ht="15.5" x14ac:dyDescent="0.25">
      <c r="A15" s="24"/>
    </row>
    <row r="16" spans="1:1" ht="46.5" x14ac:dyDescent="0.25">
      <c r="A16" s="305" t="s">
        <v>248</v>
      </c>
    </row>
    <row r="17" spans="1:1" ht="15.5" x14ac:dyDescent="0.25">
      <c r="A17" s="306"/>
    </row>
    <row r="18" spans="1:1" ht="15.5" x14ac:dyDescent="0.25">
      <c r="A18" s="306"/>
    </row>
    <row r="19" spans="1:1" ht="46.5" x14ac:dyDescent="0.25">
      <c r="A19" s="305" t="s">
        <v>249</v>
      </c>
    </row>
    <row r="20" spans="1:1" ht="15.5" x14ac:dyDescent="0.25">
      <c r="A20" s="306"/>
    </row>
    <row r="21" spans="1:1" ht="15.5" x14ac:dyDescent="0.25">
      <c r="A21" s="306"/>
    </row>
    <row r="22" spans="1:1" ht="62" x14ac:dyDescent="0.25">
      <c r="A22" s="305" t="s">
        <v>250</v>
      </c>
    </row>
    <row r="23" spans="1:1" ht="15.5" x14ac:dyDescent="0.25">
      <c r="A23" s="306"/>
    </row>
    <row r="24" spans="1:1" ht="15.5" x14ac:dyDescent="0.25">
      <c r="A24" s="306"/>
    </row>
    <row r="25" spans="1:1" ht="46.5" x14ac:dyDescent="0.25">
      <c r="A25" s="305" t="s">
        <v>251</v>
      </c>
    </row>
    <row r="26" spans="1:1" ht="15.5" x14ac:dyDescent="0.25">
      <c r="A26" s="24"/>
    </row>
    <row r="27" spans="1:1" ht="15.5" x14ac:dyDescent="0.25">
      <c r="A27" s="24"/>
    </row>
    <row r="28" spans="1:1" ht="70" x14ac:dyDescent="0.25">
      <c r="A28" s="307" t="s">
        <v>252</v>
      </c>
    </row>
    <row r="29" spans="1:1" ht="14" x14ac:dyDescent="0.25">
      <c r="A29" s="308"/>
    </row>
    <row r="30" spans="1:1" ht="14" x14ac:dyDescent="0.25">
      <c r="A30" s="308"/>
    </row>
    <row r="31" spans="1:1" ht="46.5" x14ac:dyDescent="0.25">
      <c r="A31" s="305" t="s">
        <v>253</v>
      </c>
    </row>
    <row r="32" spans="1:1" ht="15.5" x14ac:dyDescent="0.25">
      <c r="A32" s="24"/>
    </row>
    <row r="33" spans="1:1" ht="15.5" x14ac:dyDescent="0.25">
      <c r="A33" s="24"/>
    </row>
    <row r="34" spans="1:1" ht="66.75" customHeight="1" x14ac:dyDescent="0.35">
      <c r="A34" s="311" t="s">
        <v>335</v>
      </c>
    </row>
    <row r="35" spans="1:1" ht="15.5" x14ac:dyDescent="0.25">
      <c r="A35" s="24"/>
    </row>
    <row r="36" spans="1:1" ht="15.5" x14ac:dyDescent="0.25">
      <c r="A36" s="24"/>
    </row>
    <row r="37" spans="1:1" ht="62" x14ac:dyDescent="0.25">
      <c r="A37" s="309" t="s">
        <v>254</v>
      </c>
    </row>
    <row r="38" spans="1:1" ht="15.5" x14ac:dyDescent="0.25">
      <c r="A38" s="306"/>
    </row>
    <row r="39" spans="1:1" ht="15.5" x14ac:dyDescent="0.25">
      <c r="A39" s="24"/>
    </row>
    <row r="40" spans="1:1" ht="77.5" x14ac:dyDescent="0.25">
      <c r="A40" s="305" t="s">
        <v>255</v>
      </c>
    </row>
    <row r="41" spans="1:1" ht="15.5" x14ac:dyDescent="0.25">
      <c r="A41" s="306"/>
    </row>
    <row r="42" spans="1:1" ht="15.5" x14ac:dyDescent="0.25">
      <c r="A42" s="306"/>
    </row>
    <row r="43" spans="1:1" ht="82.5" customHeight="1" x14ac:dyDescent="0.35">
      <c r="A43" s="303" t="s">
        <v>336</v>
      </c>
    </row>
    <row r="44" spans="1:1" ht="15.5" x14ac:dyDescent="0.25">
      <c r="A44" s="306"/>
    </row>
    <row r="45" spans="1:1" ht="15.5" x14ac:dyDescent="0.25">
      <c r="A45" s="306"/>
    </row>
    <row r="46" spans="1:1" ht="69" customHeight="1" x14ac:dyDescent="0.35">
      <c r="A46" s="303" t="s">
        <v>337</v>
      </c>
    </row>
    <row r="47" spans="1:1" ht="15.5" x14ac:dyDescent="0.25">
      <c r="A47" s="306"/>
    </row>
    <row r="48" spans="1:1" ht="15.5" x14ac:dyDescent="0.25">
      <c r="A48" s="306"/>
    </row>
    <row r="49" spans="1:1" ht="69" customHeight="1" x14ac:dyDescent="0.35">
      <c r="A49" s="303" t="s">
        <v>338</v>
      </c>
    </row>
    <row r="50" spans="1:1" ht="15.5" x14ac:dyDescent="0.25">
      <c r="A50" s="306"/>
    </row>
    <row r="51" spans="1:1" ht="15.5" x14ac:dyDescent="0.25">
      <c r="A51" s="306"/>
    </row>
    <row r="52" spans="1:1" ht="53.25" customHeight="1" x14ac:dyDescent="0.35">
      <c r="A52" s="303" t="s">
        <v>377</v>
      </c>
    </row>
    <row r="53" spans="1:1" ht="15.5" x14ac:dyDescent="0.25">
      <c r="A53" s="306"/>
    </row>
    <row r="54" spans="1:1" ht="15.5" x14ac:dyDescent="0.25">
      <c r="A54" s="306"/>
    </row>
    <row r="55" spans="1:1" ht="77.5" x14ac:dyDescent="0.25">
      <c r="A55" s="305" t="s">
        <v>256</v>
      </c>
    </row>
    <row r="56" spans="1:1" ht="15.5" x14ac:dyDescent="0.25">
      <c r="A56" s="306"/>
    </row>
    <row r="57" spans="1:1" ht="15.5" x14ac:dyDescent="0.25">
      <c r="A57" s="306"/>
    </row>
    <row r="58" spans="1:1" ht="77.5" x14ac:dyDescent="0.25">
      <c r="A58" s="305" t="s">
        <v>257</v>
      </c>
    </row>
    <row r="59" spans="1:1" ht="15.5" x14ac:dyDescent="0.25">
      <c r="A59" s="306"/>
    </row>
    <row r="60" spans="1:1" ht="15.5" x14ac:dyDescent="0.25">
      <c r="A60" s="306"/>
    </row>
    <row r="61" spans="1:1" ht="46.5" x14ac:dyDescent="0.25">
      <c r="A61" s="305" t="s">
        <v>258</v>
      </c>
    </row>
    <row r="62" spans="1:1" ht="15.5" x14ac:dyDescent="0.25">
      <c r="A62" s="306"/>
    </row>
    <row r="63" spans="1:1" ht="15.5" x14ac:dyDescent="0.25">
      <c r="A63" s="306"/>
    </row>
    <row r="64" spans="1:1" ht="62" x14ac:dyDescent="0.25">
      <c r="A64" s="305" t="s">
        <v>259</v>
      </c>
    </row>
    <row r="65" spans="1:1" ht="15.5" x14ac:dyDescent="0.25">
      <c r="A65" s="306"/>
    </row>
    <row r="66" spans="1:1" ht="15.5" x14ac:dyDescent="0.25">
      <c r="A66" s="306"/>
    </row>
    <row r="67" spans="1:1" ht="77.5" x14ac:dyDescent="0.25">
      <c r="A67" s="305" t="s">
        <v>260</v>
      </c>
    </row>
    <row r="68" spans="1:1" ht="14" x14ac:dyDescent="0.25">
      <c r="A68" s="310"/>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DD571"/>
    <pageSetUpPr fitToPage="1"/>
  </sheetPr>
  <dimension ref="B1:AC48"/>
  <sheetViews>
    <sheetView topLeftCell="A6" zoomScaleNormal="100" workbookViewId="0">
      <selection activeCell="N22" sqref="N22"/>
    </sheetView>
  </sheetViews>
  <sheetFormatPr defaultColWidth="8.9140625" defaultRowHeight="15.5" x14ac:dyDescent="0.25"/>
  <cols>
    <col min="1" max="1" width="4.75" style="26" customWidth="1"/>
    <col min="2" max="2" width="20.75" style="26" customWidth="1"/>
    <col min="3" max="3" width="9.33203125" style="26" customWidth="1"/>
    <col min="4" max="4" width="8.6640625" style="26" customWidth="1"/>
    <col min="5" max="5" width="8.75" style="26" customWidth="1"/>
    <col min="6" max="6" width="12.75" style="26" customWidth="1"/>
    <col min="7" max="7" width="14.33203125" style="26" customWidth="1"/>
    <col min="8" max="13" width="9.75" style="26" customWidth="1"/>
    <col min="14" max="16384" width="8.9140625" style="26"/>
  </cols>
  <sheetData>
    <row r="1" spans="2:13" x14ac:dyDescent="0.25">
      <c r="B1" s="47" t="str">
        <f>inputPrYr!$D$3</f>
        <v>The City of Colby</v>
      </c>
      <c r="C1" s="28"/>
      <c r="D1" s="28"/>
      <c r="E1" s="28"/>
      <c r="F1" s="28"/>
      <c r="G1" s="28"/>
      <c r="H1" s="28"/>
      <c r="I1" s="28"/>
      <c r="J1" s="28"/>
      <c r="K1" s="28"/>
      <c r="L1" s="28"/>
      <c r="M1" s="132">
        <f>inputPrYr!$C$6</f>
        <v>2026</v>
      </c>
    </row>
    <row r="2" spans="2:13" x14ac:dyDescent="0.25">
      <c r="B2" s="47"/>
      <c r="C2" s="28"/>
      <c r="D2" s="28"/>
      <c r="E2" s="28"/>
      <c r="F2" s="28"/>
      <c r="G2" s="28"/>
      <c r="H2" s="28"/>
      <c r="I2" s="28"/>
      <c r="J2" s="28"/>
      <c r="K2" s="28"/>
      <c r="L2" s="28"/>
      <c r="M2" s="107"/>
    </row>
    <row r="3" spans="2:13" x14ac:dyDescent="0.25">
      <c r="B3" s="133" t="s">
        <v>121</v>
      </c>
      <c r="C3" s="33"/>
      <c r="D3" s="33"/>
      <c r="E3" s="33"/>
      <c r="F3" s="33"/>
      <c r="G3" s="33"/>
      <c r="H3" s="33"/>
      <c r="I3" s="33"/>
      <c r="J3" s="33"/>
      <c r="K3" s="33"/>
      <c r="L3" s="33"/>
      <c r="M3" s="33"/>
    </row>
    <row r="4" spans="2:13" ht="10.5" customHeight="1" x14ac:dyDescent="0.25">
      <c r="B4" s="28"/>
      <c r="C4" s="134"/>
      <c r="D4" s="134"/>
      <c r="E4" s="134"/>
      <c r="F4" s="134"/>
      <c r="G4" s="134"/>
      <c r="H4" s="134"/>
      <c r="I4" s="134"/>
      <c r="J4" s="134"/>
      <c r="K4" s="134"/>
      <c r="L4" s="134"/>
      <c r="M4" s="134"/>
    </row>
    <row r="5" spans="2:13" ht="18" customHeight="1" x14ac:dyDescent="0.25">
      <c r="B5" s="95"/>
      <c r="C5" s="114" t="s">
        <v>91</v>
      </c>
      <c r="D5" s="114" t="s">
        <v>91</v>
      </c>
      <c r="E5" s="114" t="s">
        <v>105</v>
      </c>
      <c r="F5" s="114"/>
      <c r="G5" s="114" t="s">
        <v>171</v>
      </c>
      <c r="H5" s="28"/>
      <c r="I5" s="28"/>
      <c r="J5" s="135" t="s">
        <v>92</v>
      </c>
      <c r="K5" s="136"/>
      <c r="L5" s="135" t="s">
        <v>92</v>
      </c>
      <c r="M5" s="136"/>
    </row>
    <row r="6" spans="2:13" x14ac:dyDescent="0.25">
      <c r="B6" s="89" t="s">
        <v>412</v>
      </c>
      <c r="C6" s="89" t="s">
        <v>93</v>
      </c>
      <c r="D6" s="89" t="s">
        <v>172</v>
      </c>
      <c r="E6" s="89" t="s">
        <v>94</v>
      </c>
      <c r="F6" s="89" t="s">
        <v>51</v>
      </c>
      <c r="G6" s="89" t="s">
        <v>173</v>
      </c>
      <c r="H6" s="736" t="s">
        <v>95</v>
      </c>
      <c r="I6" s="737"/>
      <c r="J6" s="738">
        <f>M1-1</f>
        <v>2025</v>
      </c>
      <c r="K6" s="739"/>
      <c r="L6" s="738">
        <f>M1</f>
        <v>2026</v>
      </c>
      <c r="M6" s="739"/>
    </row>
    <row r="7" spans="2:13" x14ac:dyDescent="0.25">
      <c r="B7" s="92" t="s">
        <v>411</v>
      </c>
      <c r="C7" s="92" t="s">
        <v>96</v>
      </c>
      <c r="D7" s="92" t="s">
        <v>174</v>
      </c>
      <c r="E7" s="92" t="s">
        <v>73</v>
      </c>
      <c r="F7" s="92" t="s">
        <v>97</v>
      </c>
      <c r="G7" s="137" t="str">
        <f>CONCATENATE("Jan 1, ",M1-1,"")</f>
        <v>Jan 1, 2025</v>
      </c>
      <c r="H7" s="99" t="s">
        <v>105</v>
      </c>
      <c r="I7" s="99" t="s">
        <v>107</v>
      </c>
      <c r="J7" s="99" t="s">
        <v>105</v>
      </c>
      <c r="K7" s="99" t="s">
        <v>107</v>
      </c>
      <c r="L7" s="99" t="s">
        <v>105</v>
      </c>
      <c r="M7" s="99" t="s">
        <v>107</v>
      </c>
    </row>
    <row r="8" spans="2:13" x14ac:dyDescent="0.25">
      <c r="B8" s="138" t="s">
        <v>98</v>
      </c>
      <c r="C8" s="38"/>
      <c r="D8" s="38"/>
      <c r="E8" s="139"/>
      <c r="F8" s="140"/>
      <c r="G8" s="140"/>
      <c r="H8" s="38"/>
      <c r="I8" s="38"/>
      <c r="J8" s="140"/>
      <c r="K8" s="140"/>
      <c r="L8" s="140"/>
      <c r="M8" s="140"/>
    </row>
    <row r="9" spans="2:13" x14ac:dyDescent="0.25">
      <c r="B9" s="41" t="s">
        <v>1008</v>
      </c>
      <c r="C9" s="251">
        <v>41440</v>
      </c>
      <c r="D9" s="251">
        <v>48914</v>
      </c>
      <c r="E9" s="141">
        <v>4.75</v>
      </c>
      <c r="F9" s="142">
        <v>90000</v>
      </c>
      <c r="G9" s="143">
        <f>65000-4000-4000-5000</f>
        <v>52000</v>
      </c>
      <c r="H9" s="144" t="s">
        <v>1010</v>
      </c>
      <c r="I9" s="144">
        <v>44896</v>
      </c>
      <c r="J9" s="143">
        <v>2470</v>
      </c>
      <c r="K9" s="143">
        <v>5000</v>
      </c>
      <c r="L9" s="143">
        <v>2232.5</v>
      </c>
      <c r="M9" s="143">
        <v>5000</v>
      </c>
    </row>
    <row r="10" spans="2:13" x14ac:dyDescent="0.25">
      <c r="B10" s="41" t="s">
        <v>1009</v>
      </c>
      <c r="C10" s="251">
        <v>43739</v>
      </c>
      <c r="D10" s="251">
        <v>49279</v>
      </c>
      <c r="E10" s="141">
        <v>2.35</v>
      </c>
      <c r="F10" s="142">
        <v>12000000</v>
      </c>
      <c r="G10" s="143">
        <f>10780000-675000-705000-735000</f>
        <v>8665000</v>
      </c>
      <c r="H10" s="144" t="s">
        <v>1010</v>
      </c>
      <c r="I10" s="144">
        <v>44896</v>
      </c>
      <c r="J10" s="143">
        <v>291850</v>
      </c>
      <c r="K10" s="143">
        <v>760000</v>
      </c>
      <c r="L10" s="143">
        <v>261450</v>
      </c>
      <c r="M10" s="143">
        <v>785000</v>
      </c>
    </row>
    <row r="11" spans="2:13" x14ac:dyDescent="0.25">
      <c r="B11" s="41"/>
      <c r="C11" s="251"/>
      <c r="D11" s="251"/>
      <c r="E11" s="141"/>
      <c r="F11" s="142"/>
      <c r="G11" s="143"/>
      <c r="H11" s="144"/>
      <c r="I11" s="144"/>
      <c r="J11" s="143"/>
      <c r="K11" s="143"/>
      <c r="L11" s="143"/>
      <c r="M11" s="143"/>
    </row>
    <row r="12" spans="2:13" x14ac:dyDescent="0.25">
      <c r="B12" s="41"/>
      <c r="C12" s="251"/>
      <c r="D12" s="251"/>
      <c r="E12" s="141"/>
      <c r="F12" s="142"/>
      <c r="G12" s="143"/>
      <c r="H12" s="144"/>
      <c r="I12" s="144"/>
      <c r="J12" s="143"/>
      <c r="K12" s="143"/>
      <c r="L12" s="143"/>
      <c r="M12" s="143"/>
    </row>
    <row r="13" spans="2:13" x14ac:dyDescent="0.25">
      <c r="B13" s="41"/>
      <c r="C13" s="251"/>
      <c r="D13" s="251"/>
      <c r="E13" s="141"/>
      <c r="F13" s="142"/>
      <c r="G13" s="143"/>
      <c r="H13" s="144"/>
      <c r="I13" s="144"/>
      <c r="J13" s="143"/>
      <c r="K13" s="143"/>
      <c r="L13" s="143"/>
      <c r="M13" s="143"/>
    </row>
    <row r="14" spans="2:13" x14ac:dyDescent="0.25">
      <c r="B14" s="41"/>
      <c r="C14" s="251"/>
      <c r="D14" s="251"/>
      <c r="E14" s="141"/>
      <c r="F14" s="142"/>
      <c r="G14" s="143"/>
      <c r="H14" s="144"/>
      <c r="I14" s="144"/>
      <c r="J14" s="143"/>
      <c r="K14" s="143"/>
      <c r="L14" s="143"/>
      <c r="M14" s="143"/>
    </row>
    <row r="15" spans="2:13" x14ac:dyDescent="0.25">
      <c r="B15" s="41"/>
      <c r="C15" s="251"/>
      <c r="D15" s="251"/>
      <c r="E15" s="141"/>
      <c r="F15" s="142"/>
      <c r="G15" s="143"/>
      <c r="H15" s="144"/>
      <c r="I15" s="144"/>
      <c r="J15" s="143"/>
      <c r="K15" s="143"/>
      <c r="L15" s="143"/>
      <c r="M15" s="143"/>
    </row>
    <row r="16" spans="2:13" x14ac:dyDescent="0.25">
      <c r="B16" s="41"/>
      <c r="C16" s="251"/>
      <c r="D16" s="251"/>
      <c r="E16" s="141"/>
      <c r="F16" s="142"/>
      <c r="G16" s="143"/>
      <c r="H16" s="144"/>
      <c r="I16" s="144"/>
      <c r="J16" s="143"/>
      <c r="K16" s="143"/>
      <c r="L16" s="143"/>
      <c r="M16" s="143"/>
    </row>
    <row r="17" spans="2:13" x14ac:dyDescent="0.25">
      <c r="B17" s="41"/>
      <c r="C17" s="251"/>
      <c r="D17" s="251"/>
      <c r="E17" s="141"/>
      <c r="F17" s="142"/>
      <c r="G17" s="143"/>
      <c r="H17" s="144"/>
      <c r="I17" s="144"/>
      <c r="J17" s="143"/>
      <c r="K17" s="143"/>
      <c r="L17" s="143"/>
      <c r="M17" s="143"/>
    </row>
    <row r="18" spans="2:13" x14ac:dyDescent="0.25">
      <c r="B18" s="41"/>
      <c r="C18" s="251"/>
      <c r="D18" s="251"/>
      <c r="E18" s="141"/>
      <c r="F18" s="142"/>
      <c r="G18" s="143"/>
      <c r="H18" s="144"/>
      <c r="I18" s="144"/>
      <c r="J18" s="143"/>
      <c r="K18" s="143"/>
      <c r="L18" s="143"/>
      <c r="M18" s="143"/>
    </row>
    <row r="19" spans="2:13" x14ac:dyDescent="0.25">
      <c r="B19" s="41"/>
      <c r="C19" s="251"/>
      <c r="D19" s="251"/>
      <c r="E19" s="141"/>
      <c r="F19" s="142"/>
      <c r="G19" s="143"/>
      <c r="H19" s="144"/>
      <c r="I19" s="144"/>
      <c r="J19" s="143"/>
      <c r="K19" s="143"/>
      <c r="L19" s="143"/>
      <c r="M19" s="143"/>
    </row>
    <row r="20" spans="2:13" x14ac:dyDescent="0.25">
      <c r="B20" s="145" t="s">
        <v>99</v>
      </c>
      <c r="C20" s="146"/>
      <c r="D20" s="146"/>
      <c r="E20" s="147"/>
      <c r="F20" s="148"/>
      <c r="G20" s="149">
        <f>SUM(G9:G19)</f>
        <v>8717000</v>
      </c>
      <c r="H20" s="150"/>
      <c r="I20" s="150"/>
      <c r="J20" s="149">
        <f>SUM(J9:J19)</f>
        <v>294320</v>
      </c>
      <c r="K20" s="149">
        <f>SUM(K9:K19)</f>
        <v>765000</v>
      </c>
      <c r="L20" s="149">
        <f>SUM(L9:L19)</f>
        <v>263682.5</v>
      </c>
      <c r="M20" s="149">
        <f>SUM(M9:M19)</f>
        <v>790000</v>
      </c>
    </row>
    <row r="21" spans="2:13" x14ac:dyDescent="0.25">
      <c r="B21" s="138" t="s">
        <v>100</v>
      </c>
      <c r="C21" s="151"/>
      <c r="D21" s="151"/>
      <c r="E21" s="152"/>
      <c r="F21" s="153"/>
      <c r="G21" s="153"/>
      <c r="H21" s="154"/>
      <c r="I21" s="154"/>
      <c r="J21" s="153"/>
      <c r="K21" s="153"/>
      <c r="L21" s="153"/>
      <c r="M21" s="153"/>
    </row>
    <row r="22" spans="2:13" x14ac:dyDescent="0.25">
      <c r="B22" s="41"/>
      <c r="C22" s="251"/>
      <c r="D22" s="251"/>
      <c r="E22" s="141"/>
      <c r="F22" s="142"/>
      <c r="G22" s="143"/>
      <c r="H22" s="144"/>
      <c r="I22" s="144"/>
      <c r="J22" s="143"/>
      <c r="K22" s="143"/>
      <c r="L22" s="143"/>
      <c r="M22" s="143"/>
    </row>
    <row r="23" spans="2:13" x14ac:dyDescent="0.25">
      <c r="B23" s="41"/>
      <c r="C23" s="251"/>
      <c r="D23" s="251"/>
      <c r="E23" s="141"/>
      <c r="F23" s="142"/>
      <c r="G23" s="143"/>
      <c r="H23" s="144"/>
      <c r="I23" s="144"/>
      <c r="J23" s="143"/>
      <c r="K23" s="143"/>
      <c r="L23" s="143"/>
      <c r="M23" s="143"/>
    </row>
    <row r="24" spans="2:13" x14ac:dyDescent="0.25">
      <c r="B24" s="41"/>
      <c r="C24" s="251"/>
      <c r="D24" s="251"/>
      <c r="E24" s="141"/>
      <c r="F24" s="142"/>
      <c r="G24" s="143"/>
      <c r="H24" s="144"/>
      <c r="I24" s="144"/>
      <c r="J24" s="143"/>
      <c r="K24" s="143"/>
      <c r="L24" s="143"/>
      <c r="M24" s="143"/>
    </row>
    <row r="25" spans="2:13" x14ac:dyDescent="0.25">
      <c r="B25" s="41"/>
      <c r="C25" s="251"/>
      <c r="D25" s="251"/>
      <c r="E25" s="141"/>
      <c r="F25" s="142"/>
      <c r="G25" s="143"/>
      <c r="H25" s="144"/>
      <c r="I25" s="144"/>
      <c r="J25" s="143"/>
      <c r="K25" s="143"/>
      <c r="L25" s="143"/>
      <c r="M25" s="143"/>
    </row>
    <row r="26" spans="2:13" x14ac:dyDescent="0.25">
      <c r="B26" s="41"/>
      <c r="C26" s="251"/>
      <c r="D26" s="251"/>
      <c r="E26" s="141"/>
      <c r="F26" s="142"/>
      <c r="G26" s="143"/>
      <c r="H26" s="144"/>
      <c r="I26" s="144"/>
      <c r="J26" s="143"/>
      <c r="K26" s="143"/>
      <c r="L26" s="143"/>
      <c r="M26" s="143"/>
    </row>
    <row r="27" spans="2:13" x14ac:dyDescent="0.25">
      <c r="B27" s="41"/>
      <c r="C27" s="251"/>
      <c r="D27" s="251"/>
      <c r="E27" s="141"/>
      <c r="F27" s="142"/>
      <c r="G27" s="143"/>
      <c r="H27" s="144"/>
      <c r="I27" s="144"/>
      <c r="J27" s="143"/>
      <c r="K27" s="143"/>
      <c r="L27" s="143"/>
      <c r="M27" s="143"/>
    </row>
    <row r="28" spans="2:13" x14ac:dyDescent="0.25">
      <c r="B28" s="41"/>
      <c r="C28" s="251"/>
      <c r="D28" s="251"/>
      <c r="E28" s="141"/>
      <c r="F28" s="142"/>
      <c r="G28" s="143"/>
      <c r="H28" s="144"/>
      <c r="I28" s="144"/>
      <c r="J28" s="143"/>
      <c r="K28" s="143"/>
      <c r="L28" s="143"/>
      <c r="M28" s="143"/>
    </row>
    <row r="29" spans="2:13" x14ac:dyDescent="0.25">
      <c r="B29" s="41"/>
      <c r="C29" s="251"/>
      <c r="D29" s="251"/>
      <c r="E29" s="141"/>
      <c r="F29" s="142"/>
      <c r="G29" s="143"/>
      <c r="H29" s="144"/>
      <c r="I29" s="144"/>
      <c r="J29" s="143"/>
      <c r="K29" s="143"/>
      <c r="L29" s="143"/>
      <c r="M29" s="143"/>
    </row>
    <row r="30" spans="2:13" x14ac:dyDescent="0.25">
      <c r="B30" s="41"/>
      <c r="C30" s="251"/>
      <c r="D30" s="251"/>
      <c r="E30" s="141"/>
      <c r="F30" s="142"/>
      <c r="G30" s="143"/>
      <c r="H30" s="144"/>
      <c r="I30" s="144"/>
      <c r="J30" s="143"/>
      <c r="K30" s="143"/>
      <c r="L30" s="143"/>
      <c r="M30" s="143"/>
    </row>
    <row r="31" spans="2:13" x14ac:dyDescent="0.25">
      <c r="B31" s="41"/>
      <c r="C31" s="251"/>
      <c r="D31" s="251"/>
      <c r="E31" s="141"/>
      <c r="F31" s="142"/>
      <c r="G31" s="143"/>
      <c r="H31" s="144"/>
      <c r="I31" s="144"/>
      <c r="J31" s="143"/>
      <c r="K31" s="143"/>
      <c r="L31" s="143"/>
      <c r="M31" s="143"/>
    </row>
    <row r="32" spans="2:13" x14ac:dyDescent="0.25">
      <c r="B32" s="145" t="s">
        <v>101</v>
      </c>
      <c r="C32" s="146"/>
      <c r="D32" s="146"/>
      <c r="E32" s="155"/>
      <c r="F32" s="148"/>
      <c r="G32" s="156">
        <f>SUM(G22:G31)</f>
        <v>0</v>
      </c>
      <c r="H32" s="150"/>
      <c r="I32" s="150"/>
      <c r="J32" s="156">
        <f>SUM(J22:J31)</f>
        <v>0</v>
      </c>
      <c r="K32" s="156">
        <f>SUM(K22:K31)</f>
        <v>0</v>
      </c>
      <c r="L32" s="149">
        <f>SUM(L22:L31)</f>
        <v>0</v>
      </c>
      <c r="M32" s="156">
        <f>SUM(M22:M31)</f>
        <v>0</v>
      </c>
    </row>
    <row r="33" spans="2:29" x14ac:dyDescent="0.25">
      <c r="B33" s="138" t="s">
        <v>102</v>
      </c>
      <c r="C33" s="151"/>
      <c r="D33" s="151"/>
      <c r="E33" s="152"/>
      <c r="F33" s="153"/>
      <c r="G33" s="157"/>
      <c r="H33" s="154"/>
      <c r="I33" s="154"/>
      <c r="J33" s="153"/>
      <c r="K33" s="153"/>
      <c r="L33" s="153"/>
      <c r="M33" s="153"/>
    </row>
    <row r="34" spans="2:29" x14ac:dyDescent="0.25">
      <c r="B34" s="41" t="s">
        <v>1011</v>
      </c>
      <c r="C34" s="251">
        <v>38777</v>
      </c>
      <c r="D34" s="251">
        <v>46447</v>
      </c>
      <c r="E34" s="141">
        <v>2.77</v>
      </c>
      <c r="F34" s="142">
        <v>8719980</v>
      </c>
      <c r="G34" s="143">
        <f>2828743-483002-496473-510321</f>
        <v>1338947</v>
      </c>
      <c r="H34" s="144" t="s">
        <v>1012</v>
      </c>
      <c r="I34" s="144">
        <v>44805</v>
      </c>
      <c r="J34" s="143">
        <v>30460</v>
      </c>
      <c r="K34" s="143">
        <v>524555</v>
      </c>
      <c r="L34" s="143">
        <v>17149</v>
      </c>
      <c r="M34" s="143">
        <v>539186</v>
      </c>
    </row>
    <row r="35" spans="2:29" x14ac:dyDescent="0.25">
      <c r="B35" s="41"/>
      <c r="C35" s="251"/>
      <c r="D35" s="251"/>
      <c r="E35" s="141"/>
      <c r="F35" s="142"/>
      <c r="G35" s="143"/>
      <c r="H35" s="144"/>
      <c r="I35" s="144"/>
      <c r="J35" s="143"/>
      <c r="K35" s="143"/>
      <c r="L35" s="143"/>
      <c r="M35" s="143"/>
    </row>
    <row r="36" spans="2:29" x14ac:dyDescent="0.25">
      <c r="B36" s="41"/>
      <c r="C36" s="251"/>
      <c r="D36" s="251"/>
      <c r="E36" s="141"/>
      <c r="F36" s="142"/>
      <c r="G36" s="143"/>
      <c r="H36" s="144"/>
      <c r="I36" s="144"/>
      <c r="J36" s="143"/>
      <c r="K36" s="143"/>
      <c r="L36" s="143"/>
      <c r="M36" s="143"/>
    </row>
    <row r="37" spans="2:29" x14ac:dyDescent="0.25">
      <c r="B37" s="41"/>
      <c r="C37" s="251"/>
      <c r="D37" s="251"/>
      <c r="E37" s="141"/>
      <c r="F37" s="142"/>
      <c r="G37" s="143"/>
      <c r="H37" s="144"/>
      <c r="I37" s="144"/>
      <c r="J37" s="143"/>
      <c r="K37" s="143"/>
      <c r="L37" s="143"/>
      <c r="M37" s="143"/>
    </row>
    <row r="38" spans="2:29" x14ac:dyDescent="0.25">
      <c r="B38" s="41"/>
      <c r="C38" s="251"/>
      <c r="D38" s="251"/>
      <c r="E38" s="141"/>
      <c r="F38" s="142"/>
      <c r="G38" s="143"/>
      <c r="H38" s="144"/>
      <c r="I38" s="144"/>
      <c r="J38" s="143"/>
      <c r="K38" s="143"/>
      <c r="L38" s="143"/>
      <c r="M38" s="143"/>
    </row>
    <row r="39" spans="2:29" x14ac:dyDescent="0.25">
      <c r="B39" s="41"/>
      <c r="C39" s="251"/>
      <c r="D39" s="251"/>
      <c r="E39" s="141"/>
      <c r="F39" s="142"/>
      <c r="G39" s="143"/>
      <c r="H39" s="144"/>
      <c r="I39" s="144"/>
      <c r="J39" s="143"/>
      <c r="K39" s="143"/>
      <c r="L39" s="143"/>
      <c r="M39" s="143"/>
    </row>
    <row r="40" spans="2:29" x14ac:dyDescent="0.25">
      <c r="B40" s="41"/>
      <c r="C40" s="251"/>
      <c r="D40" s="251"/>
      <c r="E40" s="141"/>
      <c r="F40" s="142"/>
      <c r="G40" s="143"/>
      <c r="H40" s="144"/>
      <c r="I40" s="144"/>
      <c r="J40" s="143"/>
      <c r="K40" s="143"/>
      <c r="L40" s="143"/>
      <c r="M40" s="143"/>
    </row>
    <row r="41" spans="2:29" x14ac:dyDescent="0.25">
      <c r="B41" s="41"/>
      <c r="C41" s="251"/>
      <c r="D41" s="251"/>
      <c r="E41" s="141"/>
      <c r="F41" s="142"/>
      <c r="G41" s="143"/>
      <c r="H41" s="144"/>
      <c r="I41" s="144"/>
      <c r="J41" s="143"/>
      <c r="K41" s="143"/>
      <c r="L41" s="143"/>
      <c r="M41" s="143"/>
      <c r="N41" s="24"/>
      <c r="O41" s="24"/>
      <c r="P41" s="24"/>
      <c r="Q41" s="24"/>
      <c r="R41" s="24"/>
      <c r="S41" s="24"/>
      <c r="T41" s="24"/>
      <c r="U41" s="24"/>
      <c r="V41" s="24"/>
      <c r="W41" s="24"/>
      <c r="X41" s="24"/>
      <c r="Y41" s="24"/>
      <c r="Z41" s="24"/>
      <c r="AA41" s="24"/>
      <c r="AB41" s="24"/>
      <c r="AC41" s="24"/>
    </row>
    <row r="42" spans="2:29" x14ac:dyDescent="0.25">
      <c r="B42" s="145" t="s">
        <v>175</v>
      </c>
      <c r="C42" s="128"/>
      <c r="D42" s="128"/>
      <c r="E42" s="155"/>
      <c r="F42" s="148"/>
      <c r="G42" s="156">
        <f>SUM(G34:G41)</f>
        <v>1338947</v>
      </c>
      <c r="H42" s="148"/>
      <c r="I42" s="148"/>
      <c r="J42" s="156">
        <f>SUM(J34:J41)</f>
        <v>30460</v>
      </c>
      <c r="K42" s="156">
        <f>SUM(K34:K41)</f>
        <v>524555</v>
      </c>
      <c r="L42" s="156">
        <f>SUM(L34:L41)</f>
        <v>17149</v>
      </c>
      <c r="M42" s="156">
        <f>SUM(M34:M41)</f>
        <v>539186</v>
      </c>
    </row>
    <row r="43" spans="2:29" x14ac:dyDescent="0.25">
      <c r="B43" s="145" t="s">
        <v>103</v>
      </c>
      <c r="C43" s="128"/>
      <c r="D43" s="128"/>
      <c r="E43" s="128"/>
      <c r="F43" s="148"/>
      <c r="G43" s="156">
        <f>SUM(G20+G32+G42)</f>
        <v>10055947</v>
      </c>
      <c r="H43" s="148"/>
      <c r="I43" s="148"/>
      <c r="J43" s="156">
        <f>SUM(J20+J32+J42)</f>
        <v>324780</v>
      </c>
      <c r="K43" s="156">
        <f>SUM(K20+K32+K42)</f>
        <v>1289555</v>
      </c>
      <c r="L43" s="156">
        <f>SUM(L20+L32+L42)</f>
        <v>280831.5</v>
      </c>
      <c r="M43" s="156">
        <f>SUM(M20+M32+M42)</f>
        <v>1329186</v>
      </c>
    </row>
    <row r="44" spans="2:29" x14ac:dyDescent="0.25">
      <c r="B44" s="24"/>
      <c r="C44" s="24"/>
      <c r="D44" s="24"/>
      <c r="E44" s="24"/>
      <c r="F44" s="24"/>
      <c r="G44" s="24"/>
      <c r="H44" s="24"/>
      <c r="I44" s="24"/>
      <c r="J44" s="24"/>
      <c r="K44" s="24"/>
      <c r="L44" s="24"/>
      <c r="M44" s="24"/>
    </row>
    <row r="45" spans="2:29" x14ac:dyDescent="0.25">
      <c r="F45" s="158"/>
      <c r="G45" s="158"/>
      <c r="J45" s="158"/>
      <c r="K45" s="158"/>
      <c r="L45" s="158"/>
      <c r="M45" s="158"/>
    </row>
    <row r="46" spans="2:29" x14ac:dyDescent="0.25">
      <c r="F46" s="24"/>
      <c r="H46" s="159"/>
      <c r="N46" s="24"/>
    </row>
    <row r="47" spans="2:29" x14ac:dyDescent="0.25">
      <c r="B47" s="24"/>
      <c r="C47" s="24"/>
      <c r="D47" s="24"/>
      <c r="E47" s="24"/>
      <c r="F47" s="24"/>
      <c r="G47" s="24"/>
      <c r="H47" s="24"/>
      <c r="I47" s="24"/>
      <c r="J47" s="24"/>
      <c r="K47" s="24"/>
      <c r="L47" s="24"/>
      <c r="M47" s="24"/>
    </row>
    <row r="48" spans="2:29" x14ac:dyDescent="0.25">
      <c r="B48" s="24"/>
      <c r="C48" s="24"/>
      <c r="D48" s="24"/>
      <c r="E48" s="24"/>
      <c r="F48" s="24"/>
      <c r="G48" s="24"/>
      <c r="H48" s="24"/>
      <c r="I48" s="24"/>
      <c r="J48" s="24"/>
      <c r="K48" s="24"/>
      <c r="L48" s="24"/>
      <c r="M48" s="24"/>
    </row>
  </sheetData>
  <sheetProtection sheet="1"/>
  <mergeCells count="3">
    <mergeCell ref="H6:I6"/>
    <mergeCell ref="J6:K6"/>
    <mergeCell ref="L6:M6"/>
  </mergeCells>
  <phoneticPr fontId="0" type="noConversion"/>
  <pageMargins left="0.25" right="0.25" top="1" bottom="0.5" header="0.5" footer="0.25"/>
  <pageSetup scale="75" orientation="landscape" blackAndWhite="1" r:id="rId1"/>
  <headerFooter alignWithMargins="0">
    <oddHeader>&amp;RState of Kansas
City</oddHeader>
    <oddFooter>&amp;CPage No. 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DD571"/>
    <pageSetUpPr fitToPage="1"/>
  </sheetPr>
  <dimension ref="B1:I30"/>
  <sheetViews>
    <sheetView zoomScale="90" zoomScaleNormal="90" workbookViewId="0">
      <selection activeCell="I11" sqref="I11"/>
    </sheetView>
  </sheetViews>
  <sheetFormatPr defaultColWidth="8.9140625" defaultRowHeight="15.5" x14ac:dyDescent="0.35"/>
  <cols>
    <col min="1" max="1" width="4.9140625" style="2" customWidth="1"/>
    <col min="2" max="2" width="23.58203125" style="2" customWidth="1"/>
    <col min="3" max="5" width="9.75" style="2" customWidth="1"/>
    <col min="6" max="6" width="18.33203125" style="2" customWidth="1"/>
    <col min="7" max="9" width="15.75" style="2" customWidth="1"/>
    <col min="10" max="16384" width="8.9140625" style="2"/>
  </cols>
  <sheetData>
    <row r="1" spans="2:9" x14ac:dyDescent="0.35">
      <c r="B1" s="10" t="str">
        <f>inputPrYr!$D$3</f>
        <v>The City of Colby</v>
      </c>
      <c r="C1" s="5"/>
      <c r="D1" s="5"/>
      <c r="E1" s="5"/>
      <c r="F1" s="5"/>
      <c r="G1" s="5"/>
      <c r="H1" s="5"/>
      <c r="I1" s="6">
        <f>inputPrYr!C6</f>
        <v>2026</v>
      </c>
    </row>
    <row r="2" spans="2:9" x14ac:dyDescent="0.35">
      <c r="B2" s="10"/>
      <c r="C2" s="5"/>
      <c r="D2" s="5"/>
      <c r="E2" s="5"/>
      <c r="F2" s="5"/>
      <c r="G2" s="5"/>
      <c r="H2" s="5"/>
      <c r="I2" s="7"/>
    </row>
    <row r="3" spans="2:9" x14ac:dyDescent="0.35">
      <c r="B3" s="5"/>
      <c r="C3" s="5"/>
      <c r="D3" s="5"/>
      <c r="E3" s="5"/>
      <c r="F3" s="5"/>
      <c r="G3" s="5"/>
      <c r="H3" s="5"/>
      <c r="I3" s="6"/>
    </row>
    <row r="4" spans="2:9" x14ac:dyDescent="0.35">
      <c r="B4" s="11" t="s">
        <v>115</v>
      </c>
      <c r="C4" s="8"/>
      <c r="D4" s="8"/>
      <c r="E4" s="8"/>
      <c r="F4" s="8"/>
      <c r="G4" s="8"/>
      <c r="H4" s="8"/>
      <c r="I4" s="8"/>
    </row>
    <row r="5" spans="2:9" x14ac:dyDescent="0.35">
      <c r="B5" s="4"/>
      <c r="C5" s="15"/>
      <c r="D5" s="15"/>
      <c r="E5" s="15"/>
      <c r="F5" s="15"/>
      <c r="G5" s="15"/>
      <c r="H5" s="15"/>
      <c r="I5" s="15"/>
    </row>
    <row r="6" spans="2:9" x14ac:dyDescent="0.35">
      <c r="B6" s="9"/>
      <c r="C6" s="9"/>
      <c r="D6" s="9"/>
      <c r="E6" s="9"/>
      <c r="F6" s="12" t="s">
        <v>35</v>
      </c>
      <c r="G6" s="9"/>
      <c r="H6" s="9"/>
      <c r="I6" s="9"/>
    </row>
    <row r="7" spans="2:9" x14ac:dyDescent="0.35">
      <c r="B7" s="368"/>
      <c r="C7" s="13"/>
      <c r="D7" s="13" t="s">
        <v>104</v>
      </c>
      <c r="E7" s="13" t="s">
        <v>105</v>
      </c>
      <c r="F7" s="13" t="s">
        <v>51</v>
      </c>
      <c r="G7" s="13" t="s">
        <v>687</v>
      </c>
      <c r="H7" s="13" t="s">
        <v>108</v>
      </c>
      <c r="I7" s="13" t="s">
        <v>108</v>
      </c>
    </row>
    <row r="8" spans="2:9" x14ac:dyDescent="0.35">
      <c r="B8" s="13" t="s">
        <v>414</v>
      </c>
      <c r="C8" s="13" t="s">
        <v>109</v>
      </c>
      <c r="D8" s="13" t="s">
        <v>110</v>
      </c>
      <c r="E8" s="13" t="s">
        <v>94</v>
      </c>
      <c r="F8" s="13" t="s">
        <v>111</v>
      </c>
      <c r="G8" s="13" t="s">
        <v>688</v>
      </c>
      <c r="H8" s="13" t="s">
        <v>112</v>
      </c>
      <c r="I8" s="13" t="s">
        <v>112</v>
      </c>
    </row>
    <row r="9" spans="2:9" x14ac:dyDescent="0.35">
      <c r="B9" s="14" t="s">
        <v>413</v>
      </c>
      <c r="C9" s="14" t="s">
        <v>91</v>
      </c>
      <c r="D9" s="17" t="s">
        <v>113</v>
      </c>
      <c r="E9" s="14" t="s">
        <v>73</v>
      </c>
      <c r="F9" s="17" t="s">
        <v>138</v>
      </c>
      <c r="G9" s="574">
        <f>inputPrYr!C6-1</f>
        <v>2025</v>
      </c>
      <c r="H9" s="14">
        <f>I1-1</f>
        <v>2025</v>
      </c>
      <c r="I9" s="14">
        <f>I1</f>
        <v>2026</v>
      </c>
    </row>
    <row r="10" spans="2:9" x14ac:dyDescent="0.35">
      <c r="B10" s="3" t="s">
        <v>1013</v>
      </c>
      <c r="C10" s="23">
        <v>41000</v>
      </c>
      <c r="D10" s="21">
        <v>180</v>
      </c>
      <c r="E10" s="19">
        <v>2.7</v>
      </c>
      <c r="F10" s="20">
        <v>1784636</v>
      </c>
      <c r="G10" s="20">
        <f>927378-121229-124612-128019-131517-135083</f>
        <v>286918</v>
      </c>
      <c r="H10" s="20">
        <v>144841</v>
      </c>
      <c r="I10" s="20">
        <v>144841</v>
      </c>
    </row>
    <row r="11" spans="2:9" x14ac:dyDescent="0.35">
      <c r="B11" s="3" t="s">
        <v>1113</v>
      </c>
      <c r="C11" s="23">
        <v>46234</v>
      </c>
      <c r="D11" s="21">
        <v>180</v>
      </c>
      <c r="E11" s="19">
        <v>6</v>
      </c>
      <c r="F11" s="20">
        <v>2650000</v>
      </c>
      <c r="G11" s="20">
        <v>0</v>
      </c>
      <c r="H11" s="20">
        <v>0</v>
      </c>
      <c r="I11" s="20">
        <v>111811</v>
      </c>
    </row>
    <row r="12" spans="2:9" x14ac:dyDescent="0.35">
      <c r="B12" s="3"/>
      <c r="C12" s="23"/>
      <c r="D12" s="21"/>
      <c r="E12" s="19"/>
      <c r="F12" s="20"/>
      <c r="G12" s="20"/>
      <c r="H12" s="20"/>
      <c r="I12" s="20"/>
    </row>
    <row r="13" spans="2:9" x14ac:dyDescent="0.35">
      <c r="B13" s="3"/>
      <c r="C13" s="23"/>
      <c r="D13" s="21"/>
      <c r="E13" s="19"/>
      <c r="F13" s="20"/>
      <c r="G13" s="20"/>
      <c r="H13" s="20"/>
      <c r="I13" s="20"/>
    </row>
    <row r="14" spans="2:9" x14ac:dyDescent="0.35">
      <c r="B14" s="3"/>
      <c r="C14" s="23"/>
      <c r="D14" s="21"/>
      <c r="E14" s="19"/>
      <c r="F14" s="20"/>
      <c r="G14" s="20"/>
      <c r="H14" s="20"/>
      <c r="I14" s="20"/>
    </row>
    <row r="15" spans="2:9" x14ac:dyDescent="0.35">
      <c r="B15" s="3"/>
      <c r="C15" s="23"/>
      <c r="D15" s="21"/>
      <c r="E15" s="19"/>
      <c r="F15" s="20"/>
      <c r="G15" s="20"/>
      <c r="H15" s="20"/>
      <c r="I15" s="20"/>
    </row>
    <row r="16" spans="2:9" x14ac:dyDescent="0.35">
      <c r="B16" s="3"/>
      <c r="C16" s="23"/>
      <c r="D16" s="21"/>
      <c r="E16" s="19"/>
      <c r="F16" s="20"/>
      <c r="G16" s="20"/>
      <c r="H16" s="20"/>
      <c r="I16" s="20"/>
    </row>
    <row r="17" spans="2:9" x14ac:dyDescent="0.35">
      <c r="B17" s="3"/>
      <c r="C17" s="23"/>
      <c r="D17" s="21"/>
      <c r="E17" s="19"/>
      <c r="F17" s="20"/>
      <c r="G17" s="20"/>
      <c r="H17" s="20"/>
      <c r="I17" s="20"/>
    </row>
    <row r="18" spans="2:9" x14ac:dyDescent="0.35">
      <c r="B18" s="3"/>
      <c r="C18" s="23"/>
      <c r="D18" s="21"/>
      <c r="E18" s="19"/>
      <c r="F18" s="20"/>
      <c r="G18" s="20"/>
      <c r="H18" s="20"/>
      <c r="I18" s="20"/>
    </row>
    <row r="19" spans="2:9" x14ac:dyDescent="0.35">
      <c r="B19" s="3"/>
      <c r="C19" s="23"/>
      <c r="D19" s="21"/>
      <c r="E19" s="19"/>
      <c r="F19" s="20"/>
      <c r="G19" s="20"/>
      <c r="H19" s="20"/>
      <c r="I19" s="20"/>
    </row>
    <row r="20" spans="2:9" x14ac:dyDescent="0.35">
      <c r="B20" s="3"/>
      <c r="C20" s="23"/>
      <c r="D20" s="21"/>
      <c r="E20" s="19"/>
      <c r="F20" s="20"/>
      <c r="G20" s="20"/>
      <c r="H20" s="20"/>
      <c r="I20" s="20"/>
    </row>
    <row r="21" spans="2:9" x14ac:dyDescent="0.35">
      <c r="B21" s="3"/>
      <c r="C21" s="23"/>
      <c r="D21" s="21"/>
      <c r="E21" s="19"/>
      <c r="F21" s="20"/>
      <c r="G21" s="20"/>
      <c r="H21" s="20"/>
      <c r="I21" s="20"/>
    </row>
    <row r="22" spans="2:9" x14ac:dyDescent="0.35">
      <c r="B22" s="3"/>
      <c r="C22" s="23"/>
      <c r="D22" s="21"/>
      <c r="E22" s="19"/>
      <c r="F22" s="20"/>
      <c r="G22" s="20"/>
      <c r="H22" s="20"/>
      <c r="I22" s="20"/>
    </row>
    <row r="23" spans="2:9" x14ac:dyDescent="0.35">
      <c r="B23" s="3"/>
      <c r="C23" s="23"/>
      <c r="D23" s="21"/>
      <c r="E23" s="19"/>
      <c r="F23" s="20"/>
      <c r="G23" s="20"/>
      <c r="H23" s="20"/>
      <c r="I23" s="20"/>
    </row>
    <row r="24" spans="2:9" x14ac:dyDescent="0.35">
      <c r="B24" s="3"/>
      <c r="C24" s="23"/>
      <c r="D24" s="21"/>
      <c r="E24" s="19"/>
      <c r="F24" s="20"/>
      <c r="G24" s="20"/>
      <c r="H24" s="20"/>
      <c r="I24" s="20"/>
    </row>
    <row r="25" spans="2:9" x14ac:dyDescent="0.35">
      <c r="B25" s="3"/>
      <c r="C25" s="23"/>
      <c r="D25" s="21"/>
      <c r="E25" s="19"/>
      <c r="F25" s="20"/>
      <c r="G25" s="20"/>
      <c r="H25" s="20"/>
      <c r="I25" s="20"/>
    </row>
    <row r="26" spans="2:9" x14ac:dyDescent="0.35">
      <c r="B26" s="3"/>
      <c r="C26" s="23"/>
      <c r="D26" s="21"/>
      <c r="E26" s="19"/>
      <c r="F26" s="20"/>
      <c r="G26" s="20"/>
      <c r="H26" s="20"/>
      <c r="I26" s="20"/>
    </row>
    <row r="27" spans="2:9" x14ac:dyDescent="0.35">
      <c r="B27" s="3"/>
      <c r="C27" s="23"/>
      <c r="D27" s="21"/>
      <c r="E27" s="19"/>
      <c r="F27" s="20"/>
      <c r="G27" s="20"/>
      <c r="H27" s="20"/>
      <c r="I27" s="20"/>
    </row>
    <row r="28" spans="2:9" ht="16" thickBot="1" x14ac:dyDescent="0.4">
      <c r="B28" s="16"/>
      <c r="C28" s="18"/>
      <c r="D28" s="18"/>
      <c r="E28" s="18"/>
      <c r="F28" s="441" t="s">
        <v>48</v>
      </c>
      <c r="G28" s="22">
        <f>SUM(G10:G27)</f>
        <v>286918</v>
      </c>
      <c r="H28" s="22">
        <f>SUM(H10:H27)</f>
        <v>144841</v>
      </c>
      <c r="I28" s="22">
        <f>SUM(I10:I27)</f>
        <v>256652</v>
      </c>
    </row>
    <row r="29" spans="2:9" ht="16" thickTop="1" x14ac:dyDescent="0.35">
      <c r="B29" s="5"/>
      <c r="C29" s="5"/>
      <c r="D29" s="5"/>
      <c r="E29" s="5"/>
      <c r="F29" s="5"/>
      <c r="G29" s="5"/>
      <c r="H29" s="10"/>
      <c r="I29" s="10"/>
    </row>
    <row r="30" spans="2:9" ht="17.5" x14ac:dyDescent="0.35">
      <c r="B30" s="740" t="s">
        <v>686</v>
      </c>
      <c r="C30" s="740"/>
      <c r="D30" s="740"/>
      <c r="E30" s="740"/>
      <c r="F30" s="740"/>
      <c r="G30" s="740"/>
      <c r="H30" s="740"/>
      <c r="I30" s="740"/>
    </row>
  </sheetData>
  <sheetProtection sheet="1"/>
  <mergeCells count="1">
    <mergeCell ref="B30:I30"/>
  </mergeCells>
  <phoneticPr fontId="0" type="noConversion"/>
  <pageMargins left="0.25" right="0.25" top="1" bottom="0.5" header="0.5" footer="0.5"/>
  <pageSetup scale="84" orientation="landscape" blackAndWhite="1" r:id="rId1"/>
  <headerFooter alignWithMargins="0">
    <oddHeader>&amp;RState of Kansas
City</oddHeader>
    <oddFooter>&amp;CPage No. 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DD571"/>
  </sheetPr>
  <dimension ref="B1:I106"/>
  <sheetViews>
    <sheetView zoomScaleNormal="100" workbookViewId="0">
      <selection activeCell="E25" sqref="E25"/>
    </sheetView>
  </sheetViews>
  <sheetFormatPr defaultColWidth="8.9140625" defaultRowHeight="12.5" x14ac:dyDescent="0.25"/>
  <cols>
    <col min="1" max="1" width="2.58203125" style="415" customWidth="1"/>
    <col min="2" max="4" width="8.9140625" style="415"/>
    <col min="5" max="5" width="9.6640625" style="415" customWidth="1"/>
    <col min="6" max="6" width="8.9140625" style="415"/>
    <col min="7" max="7" width="9.6640625" style="415" customWidth="1"/>
    <col min="8" max="16384" width="8.9140625" style="415"/>
  </cols>
  <sheetData>
    <row r="1" spans="2:9" ht="15.5" x14ac:dyDescent="0.35">
      <c r="B1" s="414"/>
      <c r="C1" s="414"/>
      <c r="D1" s="414"/>
      <c r="E1" s="414"/>
      <c r="F1" s="414"/>
      <c r="G1" s="414"/>
      <c r="H1" s="414"/>
      <c r="I1" s="414"/>
    </row>
    <row r="2" spans="2:9" ht="15" x14ac:dyDescent="0.25">
      <c r="B2" s="743" t="s">
        <v>422</v>
      </c>
      <c r="C2" s="743"/>
      <c r="D2" s="743"/>
      <c r="E2" s="743"/>
      <c r="F2" s="743"/>
      <c r="G2" s="743"/>
      <c r="H2" s="743"/>
      <c r="I2" s="743"/>
    </row>
    <row r="3" spans="2:9" ht="15" x14ac:dyDescent="0.25">
      <c r="B3" s="743" t="s">
        <v>423</v>
      </c>
      <c r="C3" s="743"/>
      <c r="D3" s="743"/>
      <c r="E3" s="743"/>
      <c r="F3" s="743"/>
      <c r="G3" s="743"/>
      <c r="H3" s="743"/>
      <c r="I3" s="743"/>
    </row>
    <row r="4" spans="2:9" ht="15.5" x14ac:dyDescent="0.25">
      <c r="B4" s="416"/>
      <c r="C4" s="416"/>
      <c r="D4" s="416"/>
      <c r="E4" s="416"/>
      <c r="F4" s="416"/>
      <c r="G4" s="416"/>
      <c r="H4" s="416"/>
      <c r="I4" s="416"/>
    </row>
    <row r="5" spans="2:9" ht="15" x14ac:dyDescent="0.25">
      <c r="B5" s="744" t="str">
        <f>CONCATENATE("Budgeted Year: ",inputPrYr!C6,"")</f>
        <v>Budgeted Year: 2026</v>
      </c>
      <c r="C5" s="744"/>
      <c r="D5" s="744"/>
      <c r="E5" s="744"/>
      <c r="F5" s="744"/>
      <c r="G5" s="744"/>
      <c r="H5" s="744"/>
      <c r="I5" s="744"/>
    </row>
    <row r="6" spans="2:9" ht="15.5" x14ac:dyDescent="0.25">
      <c r="B6" s="417"/>
      <c r="C6" s="416"/>
      <c r="D6" s="416"/>
      <c r="E6" s="416"/>
      <c r="F6" s="416"/>
      <c r="G6" s="416"/>
      <c r="H6" s="416"/>
      <c r="I6" s="416"/>
    </row>
    <row r="7" spans="2:9" ht="15.5" x14ac:dyDescent="0.25">
      <c r="B7" s="417" t="str">
        <f>CONCATENATE("Library found in: ",inputPrYr!D3,"")</f>
        <v>Library found in: The City of Colby</v>
      </c>
      <c r="C7" s="416"/>
      <c r="D7" s="416"/>
      <c r="E7" s="416"/>
      <c r="F7" s="416"/>
      <c r="G7" s="416"/>
      <c r="H7" s="416"/>
      <c r="I7" s="416"/>
    </row>
    <row r="8" spans="2:9" ht="15.5" x14ac:dyDescent="0.25">
      <c r="B8" s="417" t="str">
        <f>inputPrYr!D4</f>
        <v>Thomas County</v>
      </c>
      <c r="C8" s="416"/>
      <c r="D8" s="416"/>
      <c r="E8" s="416"/>
      <c r="F8" s="416"/>
      <c r="G8" s="416"/>
      <c r="H8" s="416"/>
      <c r="I8" s="416"/>
    </row>
    <row r="9" spans="2:9" ht="15.5" x14ac:dyDescent="0.25">
      <c r="B9" s="416"/>
      <c r="C9" s="416"/>
      <c r="D9" s="416"/>
      <c r="E9" s="416"/>
      <c r="F9" s="416"/>
      <c r="G9" s="416"/>
      <c r="H9" s="416"/>
      <c r="I9" s="416"/>
    </row>
    <row r="10" spans="2:9" ht="39" customHeight="1" x14ac:dyDescent="0.25">
      <c r="B10" s="745" t="s">
        <v>689</v>
      </c>
      <c r="C10" s="745"/>
      <c r="D10" s="745"/>
      <c r="E10" s="745"/>
      <c r="F10" s="745"/>
      <c r="G10" s="745"/>
      <c r="H10" s="745"/>
      <c r="I10" s="745"/>
    </row>
    <row r="11" spans="2:9" ht="15.5" x14ac:dyDescent="0.25">
      <c r="B11" s="416"/>
      <c r="C11" s="416"/>
      <c r="D11" s="416"/>
      <c r="E11" s="416"/>
      <c r="F11" s="416"/>
      <c r="G11" s="416"/>
      <c r="H11" s="416"/>
      <c r="I11" s="416"/>
    </row>
    <row r="12" spans="2:9" ht="15.5" x14ac:dyDescent="0.25">
      <c r="B12" s="418" t="s">
        <v>424</v>
      </c>
      <c r="C12" s="416"/>
      <c r="D12" s="416"/>
      <c r="E12" s="416"/>
      <c r="F12" s="416"/>
      <c r="G12" s="416"/>
      <c r="H12" s="416"/>
      <c r="I12" s="416"/>
    </row>
    <row r="13" spans="2:9" ht="15.5" x14ac:dyDescent="0.25">
      <c r="B13" s="416"/>
      <c r="C13" s="416"/>
      <c r="D13" s="416"/>
      <c r="E13" s="419" t="s">
        <v>425</v>
      </c>
      <c r="F13" s="416"/>
      <c r="G13" s="419" t="s">
        <v>426</v>
      </c>
      <c r="H13" s="416"/>
      <c r="I13" s="416"/>
    </row>
    <row r="14" spans="2:9" ht="15.5" x14ac:dyDescent="0.25">
      <c r="B14" s="416"/>
      <c r="C14" s="416"/>
      <c r="D14" s="416"/>
      <c r="E14" s="420">
        <f>inputPrYr!C6-1</f>
        <v>2025</v>
      </c>
      <c r="F14" s="416"/>
      <c r="G14" s="420">
        <f>inputPrYr!C6</f>
        <v>2026</v>
      </c>
      <c r="H14" s="416"/>
      <c r="I14" s="416"/>
    </row>
    <row r="15" spans="2:9" ht="15.5" x14ac:dyDescent="0.25">
      <c r="B15" s="417" t="s">
        <v>481</v>
      </c>
      <c r="C15" s="416"/>
      <c r="D15" s="416"/>
      <c r="E15" s="421">
        <f>'DebtSvs-Library8'!D48</f>
        <v>325553</v>
      </c>
      <c r="F15" s="416"/>
      <c r="G15" s="421">
        <f>'DebtSvs-Library8'!E81</f>
        <v>336952</v>
      </c>
      <c r="H15" s="416"/>
      <c r="I15" s="416"/>
    </row>
    <row r="16" spans="2:9" ht="15.5" x14ac:dyDescent="0.25">
      <c r="B16" s="417" t="s">
        <v>59</v>
      </c>
      <c r="C16" s="416"/>
      <c r="D16" s="416"/>
      <c r="E16" s="421">
        <f>'DebtSvs-Library8'!D49</f>
        <v>676</v>
      </c>
      <c r="F16" s="416"/>
      <c r="G16" s="421">
        <f>'DebtSvs-Library8'!E49</f>
        <v>0</v>
      </c>
      <c r="H16" s="416"/>
      <c r="I16" s="416"/>
    </row>
    <row r="17" spans="2:9" ht="15.5" x14ac:dyDescent="0.25">
      <c r="B17" s="417" t="s">
        <v>60</v>
      </c>
      <c r="C17" s="416"/>
      <c r="D17" s="416"/>
      <c r="E17" s="421">
        <f>'DebtSvs-Library8'!D50</f>
        <v>30587</v>
      </c>
      <c r="F17" s="416"/>
      <c r="G17" s="421">
        <f>'DebtSvs-Library8'!E50</f>
        <v>30848</v>
      </c>
      <c r="H17" s="416"/>
      <c r="I17" s="416"/>
    </row>
    <row r="18" spans="2:9" ht="15.5" x14ac:dyDescent="0.25">
      <c r="B18" s="417" t="s">
        <v>482</v>
      </c>
      <c r="C18" s="416"/>
      <c r="D18" s="416"/>
      <c r="E18" s="421">
        <f>'DebtSvs-Library8'!D51</f>
        <v>571</v>
      </c>
      <c r="F18" s="416"/>
      <c r="G18" s="421">
        <f>'DebtSvs-Library8'!E51</f>
        <v>543</v>
      </c>
      <c r="H18" s="416"/>
      <c r="I18" s="416"/>
    </row>
    <row r="19" spans="2:9" ht="15.5" x14ac:dyDescent="0.25">
      <c r="B19" s="417" t="s">
        <v>483</v>
      </c>
      <c r="C19" s="416"/>
      <c r="D19" s="416"/>
      <c r="E19" s="421">
        <f>'DebtSvs-Library8'!D52</f>
        <v>539</v>
      </c>
      <c r="F19" s="416"/>
      <c r="G19" s="421">
        <f>'DebtSvs-Library8'!E52</f>
        <v>471</v>
      </c>
      <c r="H19" s="416"/>
      <c r="I19" s="416"/>
    </row>
    <row r="20" spans="2:9" ht="15.5" x14ac:dyDescent="0.25">
      <c r="B20" s="416" t="s">
        <v>427</v>
      </c>
      <c r="C20" s="416"/>
      <c r="D20" s="416"/>
      <c r="E20" s="422">
        <f>SUM(E15:E19)</f>
        <v>357926</v>
      </c>
      <c r="F20" s="416"/>
      <c r="G20" s="422">
        <f>SUM(G15:G19)</f>
        <v>368814</v>
      </c>
      <c r="H20" s="416"/>
      <c r="I20" s="416"/>
    </row>
    <row r="21" spans="2:9" ht="15.5" x14ac:dyDescent="0.25">
      <c r="B21" s="416" t="s">
        <v>428</v>
      </c>
      <c r="C21" s="416"/>
      <c r="D21" s="416"/>
      <c r="E21" s="442">
        <f>G20-E20</f>
        <v>10888</v>
      </c>
      <c r="F21" s="416"/>
      <c r="G21" s="421"/>
      <c r="H21" s="416"/>
      <c r="I21" s="416"/>
    </row>
    <row r="22" spans="2:9" ht="15.5" x14ac:dyDescent="0.25">
      <c r="B22" s="416" t="s">
        <v>429</v>
      </c>
      <c r="C22" s="416"/>
      <c r="D22" s="423" t="str">
        <f>IF((G20-E20)&gt;=0,"Qualify","Not Qualify")</f>
        <v>Qualify</v>
      </c>
      <c r="E22" s="416"/>
      <c r="F22" s="416"/>
      <c r="G22" s="416"/>
      <c r="H22" s="416"/>
      <c r="I22" s="416"/>
    </row>
    <row r="23" spans="2:9" ht="15.5" x14ac:dyDescent="0.25">
      <c r="B23" s="416"/>
      <c r="C23" s="416"/>
      <c r="D23" s="416"/>
      <c r="E23" s="416"/>
      <c r="F23" s="416"/>
      <c r="G23" s="416"/>
      <c r="H23" s="416"/>
      <c r="I23" s="416"/>
    </row>
    <row r="24" spans="2:9" ht="15.5" x14ac:dyDescent="0.25">
      <c r="B24" s="418" t="s">
        <v>430</v>
      </c>
      <c r="C24" s="416"/>
      <c r="D24" s="416"/>
      <c r="E24" s="416"/>
      <c r="F24" s="416"/>
      <c r="G24" s="416"/>
      <c r="H24" s="416"/>
      <c r="I24" s="416"/>
    </row>
    <row r="25" spans="2:9" ht="15.5" x14ac:dyDescent="0.25">
      <c r="B25" s="416" t="s">
        <v>431</v>
      </c>
      <c r="C25" s="416"/>
      <c r="D25" s="416"/>
      <c r="E25" s="421">
        <f>'Budget Hearing Notice'!D58</f>
        <v>63771164</v>
      </c>
      <c r="F25" s="416"/>
      <c r="G25" s="421">
        <f>'Budget Hearing Notice'!F58</f>
        <v>65330073</v>
      </c>
      <c r="H25" s="416"/>
      <c r="I25" s="416"/>
    </row>
    <row r="26" spans="2:9" ht="15.5" x14ac:dyDescent="0.25">
      <c r="B26" s="416" t="s">
        <v>432</v>
      </c>
      <c r="C26" s="416"/>
      <c r="D26" s="416"/>
      <c r="E26" s="424" t="str">
        <f>IF(G25-E25&gt;=0,"No","Yes")</f>
        <v>No</v>
      </c>
      <c r="F26" s="416"/>
      <c r="G26" s="416"/>
      <c r="H26" s="416"/>
      <c r="I26" s="416"/>
    </row>
    <row r="27" spans="2:9" ht="15.5" x14ac:dyDescent="0.25">
      <c r="B27" s="416" t="s">
        <v>433</v>
      </c>
      <c r="C27" s="416"/>
      <c r="D27" s="416"/>
      <c r="E27" s="419">
        <f>'Budget Hearing Notice'!E17</f>
        <v>5.3460000000000001</v>
      </c>
      <c r="F27" s="416"/>
      <c r="G27" s="425">
        <f>'Budget Hearing Notice'!H17</f>
        <v>5.1580000000000004</v>
      </c>
      <c r="H27" s="416"/>
      <c r="I27" s="416"/>
    </row>
    <row r="28" spans="2:9" ht="15.5" x14ac:dyDescent="0.25">
      <c r="B28" s="416" t="s">
        <v>434</v>
      </c>
      <c r="C28" s="416"/>
      <c r="D28" s="416"/>
      <c r="E28" s="426">
        <f>G27-E27</f>
        <v>-0.18799999999999972</v>
      </c>
      <c r="F28" s="416"/>
      <c r="G28" s="416"/>
      <c r="H28" s="416"/>
      <c r="I28" s="416"/>
    </row>
    <row r="29" spans="2:9" ht="15.5" x14ac:dyDescent="0.25">
      <c r="B29" s="416" t="s">
        <v>429</v>
      </c>
      <c r="C29" s="416"/>
      <c r="D29" s="427" t="str">
        <f>IF(E28&gt;=0,"Qualify","Not Qualify")</f>
        <v>Not Qualify</v>
      </c>
      <c r="E29" s="416"/>
      <c r="F29" s="416"/>
      <c r="G29" s="416"/>
      <c r="H29" s="416"/>
      <c r="I29" s="416"/>
    </row>
    <row r="30" spans="2:9" ht="15.5" x14ac:dyDescent="0.25">
      <c r="B30" s="416"/>
      <c r="C30" s="416"/>
      <c r="D30" s="416"/>
      <c r="E30" s="416"/>
      <c r="F30" s="416"/>
      <c r="G30" s="416"/>
      <c r="H30" s="416"/>
      <c r="I30" s="416"/>
    </row>
    <row r="31" spans="2:9" ht="15.5" x14ac:dyDescent="0.25">
      <c r="B31" s="416" t="s">
        <v>435</v>
      </c>
      <c r="C31" s="416"/>
      <c r="D31" s="416"/>
      <c r="E31" s="416"/>
      <c r="F31" s="428" t="str">
        <f>IF(D22="Not Qualify",IF(D29="Not Qualify",IF(D29="Not Qualify","Not Qualify","Qualify"),"Qualify"),"Qualify")</f>
        <v>Qualify</v>
      </c>
      <c r="G31" s="416"/>
      <c r="H31" s="416"/>
      <c r="I31" s="416"/>
    </row>
    <row r="32" spans="2:9" ht="15.5" x14ac:dyDescent="0.25">
      <c r="B32" s="416"/>
      <c r="C32" s="416"/>
      <c r="D32" s="416"/>
      <c r="E32" s="416"/>
      <c r="F32" s="416"/>
      <c r="G32" s="416"/>
      <c r="H32" s="416"/>
      <c r="I32" s="416"/>
    </row>
    <row r="33" spans="2:9" ht="15.5" x14ac:dyDescent="0.25">
      <c r="B33" s="416"/>
      <c r="C33" s="416"/>
      <c r="D33" s="416"/>
      <c r="E33" s="416"/>
      <c r="F33" s="416"/>
      <c r="G33" s="416"/>
      <c r="H33" s="416"/>
      <c r="I33" s="416"/>
    </row>
    <row r="34" spans="2:9" ht="15.5" x14ac:dyDescent="0.25">
      <c r="B34" s="745" t="s">
        <v>436</v>
      </c>
      <c r="C34" s="745"/>
      <c r="D34" s="745"/>
      <c r="E34" s="745"/>
      <c r="F34" s="745"/>
      <c r="G34" s="745"/>
      <c r="H34" s="745"/>
      <c r="I34" s="745"/>
    </row>
    <row r="35" spans="2:9" ht="15.5" x14ac:dyDescent="0.25">
      <c r="B35" s="416"/>
      <c r="C35" s="416"/>
      <c r="D35" s="416"/>
      <c r="E35" s="416"/>
      <c r="F35" s="416"/>
      <c r="G35" s="416"/>
      <c r="H35" s="416"/>
      <c r="I35" s="416"/>
    </row>
    <row r="36" spans="2:9" ht="37.5" customHeight="1" x14ac:dyDescent="0.25">
      <c r="B36" s="416"/>
      <c r="C36" s="416"/>
      <c r="D36" s="416"/>
      <c r="E36" s="416"/>
      <c r="F36" s="416"/>
      <c r="G36" s="416"/>
      <c r="H36" s="416"/>
      <c r="I36" s="416"/>
    </row>
    <row r="37" spans="2:9" ht="15.5" x14ac:dyDescent="0.25">
      <c r="B37" s="416"/>
      <c r="C37" s="416"/>
      <c r="D37" s="416"/>
      <c r="E37" s="416"/>
      <c r="F37" s="416"/>
      <c r="G37" s="416"/>
      <c r="H37" s="416"/>
      <c r="I37" s="416"/>
    </row>
    <row r="38" spans="2:9" ht="15.5" x14ac:dyDescent="0.25">
      <c r="B38" s="416"/>
      <c r="C38" s="416"/>
      <c r="D38" s="416"/>
      <c r="E38" s="429" t="s">
        <v>66</v>
      </c>
      <c r="F38" s="430">
        <v>6</v>
      </c>
      <c r="G38" s="416"/>
      <c r="H38" s="416"/>
      <c r="I38" s="416"/>
    </row>
    <row r="39" spans="2:9" ht="15.5" x14ac:dyDescent="0.25">
      <c r="B39" s="416"/>
      <c r="C39" s="416"/>
      <c r="D39" s="416"/>
      <c r="E39" s="416"/>
      <c r="F39" s="416"/>
      <c r="G39" s="416"/>
      <c r="H39" s="416"/>
      <c r="I39" s="416"/>
    </row>
    <row r="40" spans="2:9" ht="15.5" x14ac:dyDescent="0.25">
      <c r="B40" s="416"/>
      <c r="C40" s="416"/>
      <c r="D40" s="416"/>
      <c r="E40" s="416"/>
      <c r="F40" s="416"/>
      <c r="G40" s="416"/>
      <c r="H40" s="416"/>
      <c r="I40" s="416"/>
    </row>
    <row r="41" spans="2:9" ht="15" x14ac:dyDescent="0.3">
      <c r="B41" s="741" t="s">
        <v>437</v>
      </c>
      <c r="C41" s="742"/>
      <c r="D41" s="742"/>
      <c r="E41" s="742"/>
      <c r="F41" s="742"/>
      <c r="G41" s="742"/>
      <c r="H41" s="742"/>
      <c r="I41" s="742"/>
    </row>
    <row r="42" spans="2:9" ht="15.5" x14ac:dyDescent="0.25">
      <c r="B42" s="416"/>
      <c r="C42" s="416"/>
      <c r="D42" s="416"/>
      <c r="E42" s="416"/>
      <c r="F42" s="416"/>
      <c r="G42" s="416"/>
      <c r="H42" s="416"/>
      <c r="I42" s="416"/>
    </row>
    <row r="43" spans="2:9" ht="15.5" x14ac:dyDescent="0.35">
      <c r="B43" s="431" t="s">
        <v>438</v>
      </c>
      <c r="C43" s="416"/>
      <c r="D43" s="416"/>
      <c r="E43" s="416"/>
      <c r="F43" s="416"/>
      <c r="G43" s="416"/>
      <c r="H43" s="416"/>
      <c r="I43" s="416"/>
    </row>
    <row r="44" spans="2:9" ht="15.5" x14ac:dyDescent="0.35">
      <c r="B44" s="431" t="str">
        <f>CONCATENATE("sources in your ",G14," library fund is not equal to or greater than the amount from the same")</f>
        <v>sources in your 2026 library fund is not equal to or greater than the amount from the same</v>
      </c>
      <c r="C44" s="416"/>
      <c r="D44" s="416"/>
      <c r="E44" s="416"/>
      <c r="F44" s="416"/>
      <c r="G44" s="416"/>
      <c r="H44" s="416"/>
      <c r="I44" s="416"/>
    </row>
    <row r="45" spans="2:9" ht="15.5" x14ac:dyDescent="0.35">
      <c r="B45" s="431" t="str">
        <f>CONCATENATE("sources in ",E14,".")</f>
        <v>sources in 2025.</v>
      </c>
      <c r="C45" s="414"/>
      <c r="D45" s="414"/>
      <c r="E45" s="414"/>
      <c r="F45" s="414"/>
      <c r="G45" s="414"/>
      <c r="H45" s="414"/>
      <c r="I45" s="414"/>
    </row>
    <row r="46" spans="2:9" ht="15.5" x14ac:dyDescent="0.35">
      <c r="B46" s="414"/>
      <c r="C46" s="414"/>
      <c r="D46" s="414"/>
      <c r="E46" s="414"/>
      <c r="F46" s="414"/>
      <c r="G46" s="414"/>
      <c r="H46" s="414"/>
      <c r="I46" s="414"/>
    </row>
    <row r="47" spans="2:9" ht="15.5" x14ac:dyDescent="0.35">
      <c r="B47" s="431" t="s">
        <v>439</v>
      </c>
      <c r="C47" s="431"/>
      <c r="D47" s="432"/>
      <c r="E47" s="432"/>
      <c r="F47" s="432"/>
      <c r="G47" s="432"/>
      <c r="H47" s="432"/>
      <c r="I47" s="432"/>
    </row>
    <row r="48" spans="2:9" ht="15.5" x14ac:dyDescent="0.35">
      <c r="B48" s="431" t="s">
        <v>440</v>
      </c>
      <c r="C48" s="431"/>
      <c r="D48" s="432"/>
      <c r="E48" s="432"/>
      <c r="F48" s="432"/>
      <c r="G48" s="432"/>
      <c r="H48" s="432"/>
      <c r="I48" s="432"/>
    </row>
    <row r="49" spans="2:9" ht="15.5" x14ac:dyDescent="0.35">
      <c r="B49" s="431" t="s">
        <v>441</v>
      </c>
      <c r="C49" s="431"/>
      <c r="D49" s="432"/>
      <c r="E49" s="432"/>
      <c r="F49" s="432"/>
      <c r="G49" s="432"/>
      <c r="H49" s="432"/>
      <c r="I49" s="432"/>
    </row>
    <row r="50" spans="2:9" x14ac:dyDescent="0.25">
      <c r="B50" s="432"/>
      <c r="C50" s="432"/>
      <c r="D50" s="432"/>
      <c r="E50" s="432"/>
      <c r="F50" s="432"/>
      <c r="G50" s="432"/>
      <c r="H50" s="432"/>
      <c r="I50" s="432"/>
    </row>
    <row r="51" spans="2:9" ht="15" x14ac:dyDescent="0.3">
      <c r="B51" s="433" t="s">
        <v>442</v>
      </c>
      <c r="C51" s="432"/>
      <c r="D51" s="432"/>
      <c r="E51" s="432"/>
      <c r="F51" s="432"/>
      <c r="G51" s="432"/>
      <c r="H51" s="432"/>
      <c r="I51" s="432"/>
    </row>
    <row r="52" spans="2:9" x14ac:dyDescent="0.25">
      <c r="B52" s="432"/>
      <c r="C52" s="432"/>
      <c r="D52" s="432"/>
      <c r="E52" s="432"/>
      <c r="F52" s="432"/>
      <c r="G52" s="432"/>
      <c r="H52" s="432"/>
      <c r="I52" s="432"/>
    </row>
    <row r="53" spans="2:9" ht="15.5" x14ac:dyDescent="0.35">
      <c r="B53" s="431" t="s">
        <v>443</v>
      </c>
      <c r="C53" s="432"/>
      <c r="D53" s="432"/>
      <c r="E53" s="432"/>
      <c r="F53" s="432"/>
      <c r="G53" s="432"/>
      <c r="H53" s="432"/>
      <c r="I53" s="432"/>
    </row>
    <row r="54" spans="2:9" ht="15.5" x14ac:dyDescent="0.35">
      <c r="B54" s="431" t="s">
        <v>444</v>
      </c>
      <c r="C54" s="432"/>
      <c r="D54" s="432"/>
      <c r="E54" s="432"/>
      <c r="F54" s="432"/>
      <c r="G54" s="432"/>
      <c r="H54" s="432"/>
      <c r="I54" s="432"/>
    </row>
    <row r="55" spans="2:9" x14ac:dyDescent="0.25">
      <c r="B55" s="432"/>
      <c r="C55" s="432"/>
      <c r="D55" s="432"/>
      <c r="E55" s="432"/>
      <c r="F55" s="432"/>
      <c r="G55" s="432"/>
      <c r="H55" s="432"/>
      <c r="I55" s="432"/>
    </row>
    <row r="56" spans="2:9" ht="15.5" x14ac:dyDescent="0.35">
      <c r="B56" s="433" t="s">
        <v>445</v>
      </c>
      <c r="C56" s="431"/>
      <c r="D56" s="431"/>
      <c r="E56" s="431"/>
      <c r="F56" s="431"/>
      <c r="G56" s="432"/>
      <c r="H56" s="432"/>
      <c r="I56" s="432"/>
    </row>
    <row r="57" spans="2:9" ht="15.5" x14ac:dyDescent="0.35">
      <c r="B57" s="431"/>
      <c r="C57" s="431"/>
      <c r="D57" s="431"/>
      <c r="E57" s="431"/>
      <c r="F57" s="431"/>
      <c r="G57" s="432"/>
      <c r="H57" s="432"/>
      <c r="I57" s="432"/>
    </row>
    <row r="58" spans="2:9" ht="15.5" x14ac:dyDescent="0.35">
      <c r="B58" s="431" t="s">
        <v>446</v>
      </c>
      <c r="C58" s="431"/>
      <c r="D58" s="431"/>
      <c r="E58" s="431"/>
      <c r="F58" s="431"/>
      <c r="G58" s="432"/>
      <c r="H58" s="432"/>
      <c r="I58" s="432"/>
    </row>
    <row r="59" spans="2:9" ht="15.5" x14ac:dyDescent="0.35">
      <c r="B59" s="431" t="s">
        <v>447</v>
      </c>
      <c r="C59" s="431"/>
      <c r="D59" s="431"/>
      <c r="E59" s="431"/>
      <c r="F59" s="431"/>
      <c r="G59" s="432"/>
      <c r="H59" s="432"/>
      <c r="I59" s="432"/>
    </row>
    <row r="60" spans="2:9" ht="15.5" x14ac:dyDescent="0.35">
      <c r="B60" s="431" t="s">
        <v>448</v>
      </c>
      <c r="C60" s="431"/>
      <c r="D60" s="431"/>
      <c r="E60" s="431"/>
      <c r="F60" s="431"/>
      <c r="G60" s="432"/>
      <c r="H60" s="432"/>
      <c r="I60" s="432"/>
    </row>
    <row r="61" spans="2:9" ht="15.5" x14ac:dyDescent="0.35">
      <c r="B61" s="431" t="s">
        <v>449</v>
      </c>
      <c r="C61" s="431"/>
      <c r="D61" s="431"/>
      <c r="E61" s="431"/>
      <c r="F61" s="431"/>
      <c r="G61" s="432"/>
      <c r="H61" s="432"/>
      <c r="I61" s="432"/>
    </row>
    <row r="62" spans="2:9" x14ac:dyDescent="0.25">
      <c r="B62" s="434"/>
      <c r="C62" s="434"/>
      <c r="D62" s="434"/>
      <c r="E62" s="434"/>
      <c r="F62" s="434"/>
      <c r="G62" s="432"/>
      <c r="H62" s="432"/>
      <c r="I62" s="432"/>
    </row>
    <row r="63" spans="2:9" ht="15.5" x14ac:dyDescent="0.35">
      <c r="B63" s="431" t="s">
        <v>450</v>
      </c>
      <c r="C63" s="434"/>
      <c r="D63" s="434"/>
      <c r="E63" s="434"/>
      <c r="F63" s="434"/>
      <c r="G63" s="432"/>
      <c r="H63" s="432"/>
      <c r="I63" s="432"/>
    </row>
    <row r="64" spans="2:9" ht="15.5" x14ac:dyDescent="0.35">
      <c r="B64" s="431" t="s">
        <v>451</v>
      </c>
      <c r="C64" s="434"/>
      <c r="D64" s="434"/>
      <c r="E64" s="434"/>
      <c r="F64" s="434"/>
      <c r="G64" s="432"/>
      <c r="H64" s="432"/>
      <c r="I64" s="432"/>
    </row>
    <row r="65" spans="2:9" x14ac:dyDescent="0.25">
      <c r="B65" s="434"/>
      <c r="C65" s="434"/>
      <c r="D65" s="434"/>
      <c r="E65" s="434"/>
      <c r="F65" s="434"/>
      <c r="G65" s="432"/>
      <c r="H65" s="432"/>
      <c r="I65" s="432"/>
    </row>
    <row r="66" spans="2:9" ht="15.5" x14ac:dyDescent="0.35">
      <c r="B66" s="431" t="s">
        <v>452</v>
      </c>
      <c r="C66" s="434"/>
      <c r="D66" s="434"/>
      <c r="E66" s="434"/>
      <c r="F66" s="434"/>
      <c r="G66" s="432"/>
      <c r="H66" s="432"/>
      <c r="I66" s="432"/>
    </row>
    <row r="67" spans="2:9" ht="15.5" x14ac:dyDescent="0.35">
      <c r="B67" s="431" t="s">
        <v>453</v>
      </c>
      <c r="C67" s="434"/>
      <c r="D67" s="434"/>
      <c r="E67" s="434"/>
      <c r="F67" s="434"/>
      <c r="G67" s="432"/>
      <c r="H67" s="432"/>
      <c r="I67" s="432"/>
    </row>
    <row r="68" spans="2:9" x14ac:dyDescent="0.25">
      <c r="B68" s="434"/>
      <c r="C68" s="434"/>
      <c r="D68" s="434"/>
      <c r="E68" s="434"/>
      <c r="F68" s="434"/>
      <c r="G68" s="432"/>
      <c r="H68" s="432"/>
      <c r="I68" s="432"/>
    </row>
    <row r="69" spans="2:9" ht="15" x14ac:dyDescent="0.3">
      <c r="B69" s="433" t="s">
        <v>454</v>
      </c>
      <c r="C69" s="434"/>
      <c r="D69" s="434"/>
      <c r="E69" s="434"/>
      <c r="F69" s="434"/>
      <c r="G69" s="432"/>
      <c r="H69" s="432"/>
      <c r="I69" s="432"/>
    </row>
    <row r="70" spans="2:9" x14ac:dyDescent="0.25">
      <c r="B70" s="434"/>
      <c r="C70" s="434"/>
      <c r="D70" s="434"/>
      <c r="E70" s="434"/>
      <c r="F70" s="434"/>
      <c r="G70" s="432"/>
      <c r="H70" s="432"/>
      <c r="I70" s="432"/>
    </row>
    <row r="71" spans="2:9" ht="15.5" x14ac:dyDescent="0.35">
      <c r="B71" s="431" t="s">
        <v>455</v>
      </c>
      <c r="C71" s="434"/>
      <c r="D71" s="434"/>
      <c r="E71" s="434"/>
      <c r="F71" s="434"/>
      <c r="G71" s="432"/>
      <c r="H71" s="432"/>
      <c r="I71" s="432"/>
    </row>
    <row r="72" spans="2:9" ht="15.5" x14ac:dyDescent="0.35">
      <c r="B72" s="431" t="s">
        <v>456</v>
      </c>
      <c r="C72" s="434"/>
      <c r="D72" s="434"/>
      <c r="E72" s="434"/>
      <c r="F72" s="434"/>
      <c r="G72" s="432"/>
      <c r="H72" s="432"/>
      <c r="I72" s="432"/>
    </row>
    <row r="73" spans="2:9" x14ac:dyDescent="0.25">
      <c r="B73" s="434"/>
      <c r="C73" s="434"/>
      <c r="D73" s="434"/>
      <c r="E73" s="434"/>
      <c r="F73" s="434"/>
      <c r="G73" s="432"/>
      <c r="H73" s="432"/>
      <c r="I73" s="432"/>
    </row>
    <row r="74" spans="2:9" ht="15" x14ac:dyDescent="0.3">
      <c r="B74" s="433" t="s">
        <v>457</v>
      </c>
      <c r="C74" s="434"/>
      <c r="D74" s="434"/>
      <c r="E74" s="434"/>
      <c r="F74" s="434"/>
      <c r="G74" s="432"/>
      <c r="H74" s="432"/>
      <c r="I74" s="432"/>
    </row>
    <row r="75" spans="2:9" x14ac:dyDescent="0.25">
      <c r="B75" s="434"/>
      <c r="C75" s="434"/>
      <c r="D75" s="434"/>
      <c r="E75" s="434"/>
      <c r="F75" s="434"/>
      <c r="G75" s="432"/>
      <c r="H75" s="432"/>
      <c r="I75" s="432"/>
    </row>
    <row r="76" spans="2:9" ht="15.5" x14ac:dyDescent="0.35">
      <c r="B76" s="431" t="str">
        <f>CONCATENATE("If the ",G14," municipal budget has not been published and has not been submitted to the County")</f>
        <v>If the 2026 municipal budget has not been published and has not been submitted to the County</v>
      </c>
      <c r="C76" s="434"/>
      <c r="D76" s="434"/>
      <c r="E76" s="434"/>
      <c r="F76" s="434"/>
      <c r="G76" s="432"/>
      <c r="H76" s="432"/>
      <c r="I76" s="432"/>
    </row>
    <row r="77" spans="2:9" ht="15.5" x14ac:dyDescent="0.35">
      <c r="B77" s="431" t="s">
        <v>458</v>
      </c>
      <c r="C77" s="434"/>
      <c r="D77" s="434"/>
      <c r="E77" s="434"/>
      <c r="F77" s="434"/>
      <c r="G77" s="432"/>
      <c r="H77" s="432"/>
      <c r="I77" s="432"/>
    </row>
    <row r="78" spans="2:9" x14ac:dyDescent="0.25">
      <c r="B78" s="434"/>
      <c r="C78" s="434"/>
      <c r="D78" s="434"/>
      <c r="E78" s="434"/>
      <c r="F78" s="434"/>
      <c r="G78" s="432"/>
      <c r="H78" s="432"/>
      <c r="I78" s="432"/>
    </row>
    <row r="79" spans="2:9" ht="15" x14ac:dyDescent="0.3">
      <c r="B79" s="433" t="s">
        <v>288</v>
      </c>
      <c r="C79" s="434"/>
      <c r="D79" s="434"/>
      <c r="E79" s="434"/>
      <c r="F79" s="434"/>
      <c r="G79" s="432"/>
      <c r="H79" s="432"/>
      <c r="I79" s="432"/>
    </row>
    <row r="80" spans="2:9" x14ac:dyDescent="0.25">
      <c r="B80" s="434"/>
      <c r="C80" s="434"/>
      <c r="D80" s="434"/>
      <c r="E80" s="434"/>
      <c r="F80" s="434"/>
      <c r="G80" s="432"/>
      <c r="H80" s="432"/>
      <c r="I80" s="432"/>
    </row>
    <row r="81" spans="2:9" ht="15.5" x14ac:dyDescent="0.35">
      <c r="B81" s="431" t="s">
        <v>459</v>
      </c>
      <c r="C81" s="434"/>
      <c r="D81" s="434"/>
      <c r="E81" s="434"/>
      <c r="F81" s="434"/>
      <c r="G81" s="432"/>
      <c r="H81" s="432"/>
      <c r="I81" s="432"/>
    </row>
    <row r="82" spans="2:9" ht="15.5" x14ac:dyDescent="0.35">
      <c r="B82" s="431" t="str">
        <f>CONCATENATE("Budget Year ",G14," is equal to or greater than that for Current Year Estimate ",E14,".")</f>
        <v>Budget Year 2026 is equal to or greater than that for Current Year Estimate 2025.</v>
      </c>
      <c r="C82" s="434"/>
      <c r="D82" s="434"/>
      <c r="E82" s="434"/>
      <c r="F82" s="434"/>
      <c r="G82" s="432"/>
      <c r="H82" s="432"/>
      <c r="I82" s="432"/>
    </row>
    <row r="83" spans="2:9" x14ac:dyDescent="0.25">
      <c r="B83" s="434"/>
      <c r="C83" s="434"/>
      <c r="D83" s="434"/>
      <c r="E83" s="434"/>
      <c r="F83" s="434"/>
      <c r="G83" s="432"/>
      <c r="H83" s="432"/>
      <c r="I83" s="432"/>
    </row>
    <row r="84" spans="2:9" ht="15.5" x14ac:dyDescent="0.35">
      <c r="B84" s="431" t="s">
        <v>460</v>
      </c>
      <c r="C84" s="434"/>
      <c r="D84" s="434"/>
      <c r="E84" s="434"/>
      <c r="F84" s="434"/>
      <c r="G84" s="432"/>
      <c r="H84" s="432"/>
      <c r="I84" s="432"/>
    </row>
    <row r="85" spans="2:9" ht="15.5" x14ac:dyDescent="0.35">
      <c r="B85" s="431" t="s">
        <v>461</v>
      </c>
      <c r="C85" s="434"/>
      <c r="D85" s="434"/>
      <c r="E85" s="434"/>
      <c r="F85" s="434"/>
      <c r="G85" s="432"/>
      <c r="H85" s="432"/>
      <c r="I85" s="432"/>
    </row>
    <row r="86" spans="2:9" ht="15.5" x14ac:dyDescent="0.35">
      <c r="B86" s="431" t="s">
        <v>462</v>
      </c>
      <c r="C86" s="434"/>
      <c r="D86" s="434"/>
      <c r="E86" s="434"/>
      <c r="F86" s="434"/>
      <c r="G86" s="432"/>
      <c r="H86" s="432"/>
      <c r="I86" s="432"/>
    </row>
    <row r="87" spans="2:9" ht="15.5" x14ac:dyDescent="0.35">
      <c r="B87" s="431" t="str">
        <f>CONCATENATE("purpose for the previous (",E14,") year.")</f>
        <v>purpose for the previous (2025) year.</v>
      </c>
      <c r="C87" s="434"/>
      <c r="D87" s="434"/>
      <c r="E87" s="434"/>
      <c r="F87" s="434"/>
      <c r="G87" s="432"/>
      <c r="H87" s="432"/>
      <c r="I87" s="432"/>
    </row>
    <row r="88" spans="2:9" x14ac:dyDescent="0.25">
      <c r="B88" s="434"/>
      <c r="C88" s="434"/>
      <c r="D88" s="434"/>
      <c r="E88" s="434"/>
      <c r="F88" s="434"/>
      <c r="G88" s="432"/>
      <c r="H88" s="432"/>
      <c r="I88" s="432"/>
    </row>
    <row r="89" spans="2:9" ht="15.5" x14ac:dyDescent="0.35">
      <c r="B89" s="431" t="str">
        <f>CONCATENATE("Next, look to see if delinquent tax for ",G14," is budgeted. Often this line is budgeted at $0 or left")</f>
        <v>Next, look to see if delinquent tax for 2026 is budgeted. Often this line is budgeted at $0 or left</v>
      </c>
      <c r="C89" s="434"/>
      <c r="D89" s="434"/>
      <c r="E89" s="434"/>
      <c r="F89" s="434"/>
      <c r="G89" s="432"/>
      <c r="H89" s="432"/>
      <c r="I89" s="432"/>
    </row>
    <row r="90" spans="2:9" ht="15.5" x14ac:dyDescent="0.35">
      <c r="B90" s="431" t="s">
        <v>463</v>
      </c>
      <c r="C90" s="434"/>
      <c r="D90" s="434"/>
      <c r="E90" s="434"/>
      <c r="F90" s="434"/>
      <c r="G90" s="432"/>
      <c r="H90" s="432"/>
      <c r="I90" s="432"/>
    </row>
    <row r="91" spans="2:9" ht="15.5" x14ac:dyDescent="0.35">
      <c r="B91" s="431" t="s">
        <v>464</v>
      </c>
      <c r="C91" s="434"/>
      <c r="D91" s="434"/>
      <c r="E91" s="434"/>
      <c r="F91" s="434"/>
      <c r="G91" s="432"/>
      <c r="H91" s="432"/>
      <c r="I91" s="432"/>
    </row>
    <row r="92" spans="2:9" ht="15.5" x14ac:dyDescent="0.35">
      <c r="B92" s="431" t="s">
        <v>465</v>
      </c>
      <c r="C92" s="434"/>
      <c r="D92" s="434"/>
      <c r="E92" s="434"/>
      <c r="F92" s="434"/>
      <c r="G92" s="432"/>
      <c r="H92" s="432"/>
      <c r="I92" s="432"/>
    </row>
    <row r="93" spans="2:9" x14ac:dyDescent="0.25">
      <c r="B93" s="434"/>
      <c r="C93" s="434"/>
      <c r="D93" s="434"/>
      <c r="E93" s="434"/>
      <c r="F93" s="434"/>
      <c r="G93" s="432"/>
      <c r="H93" s="432"/>
      <c r="I93" s="432"/>
    </row>
    <row r="94" spans="2:9" ht="15" x14ac:dyDescent="0.3">
      <c r="B94" s="433" t="s">
        <v>466</v>
      </c>
      <c r="C94" s="434"/>
      <c r="D94" s="434"/>
      <c r="E94" s="434"/>
      <c r="F94" s="434"/>
      <c r="G94" s="432"/>
      <c r="H94" s="432"/>
      <c r="I94" s="432"/>
    </row>
    <row r="95" spans="2:9" x14ac:dyDescent="0.25">
      <c r="B95" s="434"/>
      <c r="C95" s="434"/>
      <c r="D95" s="434"/>
      <c r="E95" s="434"/>
      <c r="F95" s="434"/>
      <c r="G95" s="432"/>
      <c r="H95" s="432"/>
      <c r="I95" s="432"/>
    </row>
    <row r="96" spans="2:9" ht="15.5" x14ac:dyDescent="0.35">
      <c r="B96" s="431" t="s">
        <v>467</v>
      </c>
      <c r="C96" s="434"/>
      <c r="D96" s="434"/>
      <c r="E96" s="434"/>
      <c r="F96" s="434"/>
      <c r="G96" s="432"/>
      <c r="H96" s="432"/>
      <c r="I96" s="432"/>
    </row>
    <row r="97" spans="2:9" ht="15.5" x14ac:dyDescent="0.35">
      <c r="B97" s="431" t="s">
        <v>468</v>
      </c>
      <c r="C97" s="434"/>
      <c r="D97" s="434"/>
      <c r="E97" s="434"/>
      <c r="F97" s="434"/>
      <c r="G97" s="432"/>
      <c r="H97" s="432"/>
      <c r="I97" s="432"/>
    </row>
    <row r="98" spans="2:9" x14ac:dyDescent="0.25">
      <c r="B98" s="434"/>
      <c r="C98" s="434"/>
      <c r="D98" s="434"/>
      <c r="E98" s="434"/>
      <c r="F98" s="434"/>
      <c r="G98" s="432"/>
      <c r="H98" s="432"/>
      <c r="I98" s="432"/>
    </row>
    <row r="99" spans="2:9" ht="15.5" x14ac:dyDescent="0.35">
      <c r="B99" s="431" t="s">
        <v>469</v>
      </c>
      <c r="C99" s="434"/>
      <c r="D99" s="434"/>
      <c r="E99" s="434"/>
      <c r="F99" s="434"/>
      <c r="G99" s="432"/>
      <c r="H99" s="432"/>
      <c r="I99" s="432"/>
    </row>
    <row r="100" spans="2:9" ht="15.5" x14ac:dyDescent="0.35">
      <c r="B100" s="431" t="s">
        <v>470</v>
      </c>
      <c r="C100" s="434"/>
      <c r="D100" s="434"/>
      <c r="E100" s="434"/>
      <c r="F100" s="434"/>
      <c r="G100" s="432"/>
      <c r="H100" s="432"/>
      <c r="I100" s="432"/>
    </row>
    <row r="101" spans="2:9" ht="15.5" x14ac:dyDescent="0.35">
      <c r="B101" s="431" t="s">
        <v>471</v>
      </c>
      <c r="C101" s="434"/>
      <c r="D101" s="434"/>
      <c r="E101" s="434"/>
      <c r="F101" s="434"/>
      <c r="G101" s="432"/>
      <c r="H101" s="432"/>
      <c r="I101" s="432"/>
    </row>
    <row r="102" spans="2:9" ht="15.5" x14ac:dyDescent="0.35">
      <c r="B102" s="431" t="s">
        <v>472</v>
      </c>
      <c r="C102" s="434"/>
      <c r="D102" s="434"/>
      <c r="E102" s="434"/>
      <c r="F102" s="434"/>
      <c r="G102" s="432"/>
      <c r="H102" s="432"/>
      <c r="I102" s="432"/>
    </row>
    <row r="103" spans="2:9" ht="14.5" x14ac:dyDescent="0.35">
      <c r="B103" s="453" t="s">
        <v>554</v>
      </c>
      <c r="C103" s="454"/>
      <c r="D103" s="454"/>
      <c r="E103" s="454"/>
      <c r="F103" s="454"/>
      <c r="G103" s="432"/>
      <c r="H103" s="432"/>
      <c r="I103" s="432"/>
    </row>
    <row r="106" spans="2:9" x14ac:dyDescent="0.25">
      <c r="G106" s="435"/>
    </row>
  </sheetData>
  <sheetProtection sheet="1"/>
  <mergeCells count="6">
    <mergeCell ref="B41:I41"/>
    <mergeCell ref="B2:I2"/>
    <mergeCell ref="B3:I3"/>
    <mergeCell ref="B5:I5"/>
    <mergeCell ref="B10:I10"/>
    <mergeCell ref="B34:I34"/>
  </mergeCells>
  <hyperlinks>
    <hyperlink ref="B103" r:id="rId1" xr:uid="{00000000-0004-0000-0B00-000000000000}"/>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DD571"/>
  </sheetPr>
  <dimension ref="B1:J129"/>
  <sheetViews>
    <sheetView view="pageBreakPreview" topLeftCell="A41" zoomScaleNormal="100" zoomScaleSheetLayoutView="100" workbookViewId="0">
      <selection activeCell="L77" sqref="K77:L79"/>
    </sheetView>
  </sheetViews>
  <sheetFormatPr defaultColWidth="8.9140625" defaultRowHeight="15.5" x14ac:dyDescent="0.25"/>
  <cols>
    <col min="1" max="1" width="2.4140625" style="26" customWidth="1"/>
    <col min="2" max="2" width="31.08203125" style="26" customWidth="1"/>
    <col min="3" max="4" width="15.75" style="26" customWidth="1"/>
    <col min="5" max="5" width="16.33203125" style="26" customWidth="1"/>
    <col min="6" max="6" width="6.9140625" style="26" customWidth="1"/>
    <col min="7" max="7" width="10.25" style="26" customWidth="1"/>
    <col min="8" max="9" width="8.9140625" style="26" customWidth="1"/>
    <col min="10" max="10" width="10" style="26" customWidth="1"/>
    <col min="11" max="16384" width="8.9140625" style="26"/>
  </cols>
  <sheetData>
    <row r="1" spans="2:5" x14ac:dyDescent="0.25">
      <c r="B1" s="47" t="str">
        <f>inputPrYr!D3</f>
        <v>The City of Colby</v>
      </c>
      <c r="C1" s="28"/>
      <c r="D1" s="28"/>
      <c r="E1" s="80">
        <f>inputPrYr!C6</f>
        <v>2026</v>
      </c>
    </row>
    <row r="2" spans="2:5" x14ac:dyDescent="0.25">
      <c r="B2" s="28"/>
      <c r="C2" s="28"/>
      <c r="D2" s="28"/>
      <c r="E2" s="107"/>
    </row>
    <row r="3" spans="2:5" x14ac:dyDescent="0.25">
      <c r="B3" s="160"/>
      <c r="C3" s="28"/>
      <c r="D3" s="28"/>
      <c r="E3" s="80"/>
    </row>
    <row r="4" spans="2:5" x14ac:dyDescent="0.25">
      <c r="B4" s="262" t="s">
        <v>119</v>
      </c>
      <c r="C4" s="161"/>
      <c r="D4" s="161"/>
      <c r="E4" s="161"/>
    </row>
    <row r="5" spans="2:5" x14ac:dyDescent="0.25">
      <c r="B5" s="108" t="s">
        <v>57</v>
      </c>
      <c r="C5" s="443" t="s">
        <v>475</v>
      </c>
      <c r="D5" s="444" t="s">
        <v>476</v>
      </c>
      <c r="E5" s="87" t="s">
        <v>477</v>
      </c>
    </row>
    <row r="6" spans="2:5" x14ac:dyDescent="0.25">
      <c r="B6" s="334" t="str">
        <f>inputPrYr!B18</f>
        <v>General</v>
      </c>
      <c r="C6" s="137" t="str">
        <f>CONCATENATE("Actual for ",E1-2,"")</f>
        <v>Actual for 2024</v>
      </c>
      <c r="D6" s="137" t="str">
        <f>CONCATENATE("Estimate for ",E1-1,"")</f>
        <v>Estimate for 2025</v>
      </c>
      <c r="E6" s="122" t="str">
        <f>CONCATENATE("Year for ",E1,"")</f>
        <v>Year for 2026</v>
      </c>
    </row>
    <row r="7" spans="2:5" x14ac:dyDescent="0.25">
      <c r="B7" s="162" t="s">
        <v>133</v>
      </c>
      <c r="C7" s="163">
        <f>199429+97</f>
        <v>199526</v>
      </c>
      <c r="D7" s="165">
        <f>C103</f>
        <v>175832</v>
      </c>
      <c r="E7" s="140">
        <f>D103</f>
        <v>264501</v>
      </c>
    </row>
    <row r="8" spans="2:5" x14ac:dyDescent="0.25">
      <c r="B8" s="166" t="s">
        <v>135</v>
      </c>
      <c r="C8" s="102"/>
      <c r="D8" s="102"/>
      <c r="E8" s="52"/>
    </row>
    <row r="9" spans="2:5" x14ac:dyDescent="0.25">
      <c r="B9" s="162" t="s">
        <v>58</v>
      </c>
      <c r="C9" s="167">
        <v>742491</v>
      </c>
      <c r="D9" s="165">
        <f>IF(inputPrYr!H21&gt;0,inputPrYr!G22,inputPrYr!E18)</f>
        <v>823270</v>
      </c>
      <c r="E9" s="169" t="s">
        <v>49</v>
      </c>
    </row>
    <row r="10" spans="2:5" x14ac:dyDescent="0.25">
      <c r="B10" s="162" t="s">
        <v>59</v>
      </c>
      <c r="C10" s="167">
        <v>5908</v>
      </c>
      <c r="D10" s="167">
        <v>1573</v>
      </c>
      <c r="E10" s="170">
        <v>0</v>
      </c>
    </row>
    <row r="11" spans="2:5" x14ac:dyDescent="0.25">
      <c r="B11" s="162" t="s">
        <v>60</v>
      </c>
      <c r="C11" s="167">
        <v>85137</v>
      </c>
      <c r="D11" s="167">
        <v>71295</v>
      </c>
      <c r="E11" s="140">
        <f>Mvalloc!D7</f>
        <v>78010</v>
      </c>
    </row>
    <row r="12" spans="2:5" x14ac:dyDescent="0.25">
      <c r="B12" s="162" t="s">
        <v>61</v>
      </c>
      <c r="C12" s="167">
        <v>1044</v>
      </c>
      <c r="D12" s="167">
        <v>1331</v>
      </c>
      <c r="E12" s="140">
        <f>Mvalloc!E7</f>
        <v>1373.4700000000003</v>
      </c>
    </row>
    <row r="13" spans="2:5" x14ac:dyDescent="0.25">
      <c r="B13" s="162" t="s">
        <v>126</v>
      </c>
      <c r="C13" s="167">
        <v>693</v>
      </c>
      <c r="D13" s="167">
        <v>1257</v>
      </c>
      <c r="E13" s="140">
        <f>Mvalloc!F7</f>
        <v>1193</v>
      </c>
    </row>
    <row r="14" spans="2:5" x14ac:dyDescent="0.25">
      <c r="B14" s="509" t="s">
        <v>524</v>
      </c>
      <c r="C14" s="167">
        <v>5117</v>
      </c>
      <c r="D14" s="167">
        <v>6144</v>
      </c>
      <c r="E14" s="140">
        <f>Mvalloc!G7</f>
        <v>6265</v>
      </c>
    </row>
    <row r="15" spans="2:5" x14ac:dyDescent="0.25">
      <c r="B15" s="509" t="s">
        <v>525</v>
      </c>
      <c r="C15" s="167"/>
      <c r="D15" s="167"/>
      <c r="E15" s="140">
        <f>Mvalloc!H7</f>
        <v>0</v>
      </c>
    </row>
    <row r="16" spans="2:5" x14ac:dyDescent="0.25">
      <c r="B16" s="162" t="s">
        <v>127</v>
      </c>
      <c r="C16" s="167"/>
      <c r="D16" s="167"/>
      <c r="E16" s="140">
        <f>inputOth!E17</f>
        <v>0</v>
      </c>
    </row>
    <row r="17" spans="2:5" x14ac:dyDescent="0.25">
      <c r="B17" s="163" t="s">
        <v>1014</v>
      </c>
      <c r="C17" s="167">
        <v>96096</v>
      </c>
      <c r="D17" s="167">
        <v>96030</v>
      </c>
      <c r="E17" s="170">
        <v>96030</v>
      </c>
    </row>
    <row r="18" spans="2:5" x14ac:dyDescent="0.25">
      <c r="B18" s="163" t="s">
        <v>62</v>
      </c>
      <c r="C18" s="167">
        <v>29284</v>
      </c>
      <c r="D18" s="167">
        <v>28835</v>
      </c>
      <c r="E18" s="170">
        <v>28978</v>
      </c>
    </row>
    <row r="19" spans="2:5" x14ac:dyDescent="0.25">
      <c r="B19" s="163" t="s">
        <v>1015</v>
      </c>
      <c r="C19" s="167">
        <v>7500</v>
      </c>
      <c r="D19" s="167">
        <v>7500</v>
      </c>
      <c r="E19" s="170">
        <v>7500</v>
      </c>
    </row>
    <row r="20" spans="2:5" x14ac:dyDescent="0.25">
      <c r="B20" s="336" t="s">
        <v>345</v>
      </c>
      <c r="C20" s="167">
        <v>1334078</v>
      </c>
      <c r="D20" s="167">
        <v>1338000</v>
      </c>
      <c r="E20" s="170">
        <v>1338000</v>
      </c>
    </row>
    <row r="21" spans="2:5" x14ac:dyDescent="0.25">
      <c r="B21" s="335" t="s">
        <v>346</v>
      </c>
      <c r="C21" s="167">
        <v>106180</v>
      </c>
      <c r="D21" s="167">
        <v>105000</v>
      </c>
      <c r="E21" s="170">
        <v>100000</v>
      </c>
    </row>
    <row r="22" spans="2:5" x14ac:dyDescent="0.25">
      <c r="B22" s="335" t="s">
        <v>1016</v>
      </c>
      <c r="C22" s="167">
        <v>31356</v>
      </c>
      <c r="D22" s="167">
        <v>14950</v>
      </c>
      <c r="E22" s="170">
        <v>14950</v>
      </c>
    </row>
    <row r="23" spans="2:5" x14ac:dyDescent="0.25">
      <c r="B23" s="335" t="s">
        <v>1017</v>
      </c>
      <c r="C23" s="167">
        <v>409091</v>
      </c>
      <c r="D23" s="167">
        <v>429163</v>
      </c>
      <c r="E23" s="170">
        <v>439759</v>
      </c>
    </row>
    <row r="24" spans="2:5" x14ac:dyDescent="0.25">
      <c r="B24" s="163" t="s">
        <v>1018</v>
      </c>
      <c r="C24" s="167">
        <v>65682</v>
      </c>
      <c r="D24" s="167">
        <v>25400</v>
      </c>
      <c r="E24" s="170">
        <v>25400</v>
      </c>
    </row>
    <row r="25" spans="2:5" x14ac:dyDescent="0.25">
      <c r="B25" s="163" t="s">
        <v>1019</v>
      </c>
      <c r="C25" s="167">
        <v>83857</v>
      </c>
      <c r="D25" s="167">
        <v>104212</v>
      </c>
      <c r="E25" s="170">
        <v>76500</v>
      </c>
    </row>
    <row r="26" spans="2:5" x14ac:dyDescent="0.25">
      <c r="B26" s="163" t="s">
        <v>1020</v>
      </c>
      <c r="C26" s="167">
        <v>205604</v>
      </c>
      <c r="D26" s="167">
        <v>357560</v>
      </c>
      <c r="E26" s="170">
        <v>375000</v>
      </c>
    </row>
    <row r="27" spans="2:5" x14ac:dyDescent="0.25">
      <c r="B27" s="163" t="s">
        <v>1021</v>
      </c>
      <c r="C27" s="167">
        <v>137611</v>
      </c>
      <c r="D27" s="167">
        <v>292075</v>
      </c>
      <c r="E27" s="170">
        <v>327050</v>
      </c>
    </row>
    <row r="28" spans="2:5" x14ac:dyDescent="0.25">
      <c r="B28" s="163" t="s">
        <v>1048</v>
      </c>
      <c r="C28" s="167">
        <f>154857+15524</f>
        <v>170381</v>
      </c>
      <c r="D28" s="167">
        <v>85772</v>
      </c>
      <c r="E28" s="170">
        <v>65000</v>
      </c>
    </row>
    <row r="29" spans="2:5" x14ac:dyDescent="0.25">
      <c r="B29" s="163" t="s">
        <v>1022</v>
      </c>
      <c r="C29" s="167">
        <v>25541</v>
      </c>
      <c r="D29" s="167">
        <v>27930</v>
      </c>
      <c r="E29" s="170">
        <v>30469</v>
      </c>
    </row>
    <row r="30" spans="2:5" x14ac:dyDescent="0.25">
      <c r="B30" s="163"/>
      <c r="C30" s="167"/>
      <c r="D30" s="167"/>
      <c r="E30" s="170"/>
    </row>
    <row r="31" spans="2:5" x14ac:dyDescent="0.25">
      <c r="B31" s="163"/>
      <c r="C31" s="167"/>
      <c r="D31" s="167"/>
      <c r="E31" s="170"/>
    </row>
    <row r="32" spans="2:5" x14ac:dyDescent="0.25">
      <c r="B32" s="163"/>
      <c r="C32" s="167"/>
      <c r="D32" s="167"/>
      <c r="E32" s="170"/>
    </row>
    <row r="33" spans="2:9" x14ac:dyDescent="0.25">
      <c r="B33" s="163"/>
      <c r="C33" s="167"/>
      <c r="D33" s="167"/>
      <c r="E33" s="170"/>
    </row>
    <row r="34" spans="2:9" x14ac:dyDescent="0.25">
      <c r="B34" s="163"/>
      <c r="C34" s="167"/>
      <c r="D34" s="167"/>
      <c r="E34" s="170"/>
    </row>
    <row r="35" spans="2:9" x14ac:dyDescent="0.25">
      <c r="B35" s="163"/>
      <c r="C35" s="167"/>
      <c r="D35" s="167"/>
      <c r="E35" s="170"/>
    </row>
    <row r="36" spans="2:9" x14ac:dyDescent="0.25">
      <c r="B36" s="163"/>
      <c r="C36" s="167"/>
      <c r="D36" s="167"/>
      <c r="E36" s="170"/>
    </row>
    <row r="37" spans="2:9" x14ac:dyDescent="0.25">
      <c r="B37" s="163"/>
      <c r="C37" s="167"/>
      <c r="D37" s="167"/>
      <c r="E37" s="170"/>
    </row>
    <row r="38" spans="2:9" x14ac:dyDescent="0.25">
      <c r="B38" s="163"/>
      <c r="C38" s="167"/>
      <c r="D38" s="167"/>
      <c r="E38" s="170"/>
    </row>
    <row r="39" spans="2:9" x14ac:dyDescent="0.25">
      <c r="B39" s="163"/>
      <c r="C39" s="167"/>
      <c r="D39" s="167"/>
      <c r="E39" s="170"/>
    </row>
    <row r="40" spans="2:9" x14ac:dyDescent="0.25">
      <c r="B40" s="163"/>
      <c r="C40" s="167"/>
      <c r="D40" s="167"/>
      <c r="E40" s="170"/>
    </row>
    <row r="41" spans="2:9" x14ac:dyDescent="0.25">
      <c r="B41" s="163"/>
      <c r="C41" s="167"/>
      <c r="D41" s="167"/>
      <c r="E41" s="170"/>
    </row>
    <row r="42" spans="2:9" x14ac:dyDescent="0.25">
      <c r="B42" s="163" t="s">
        <v>1023</v>
      </c>
      <c r="C42" s="167">
        <v>156806</v>
      </c>
      <c r="D42" s="167">
        <v>177131</v>
      </c>
      <c r="E42" s="170">
        <v>192441</v>
      </c>
    </row>
    <row r="43" spans="2:9" x14ac:dyDescent="0.25">
      <c r="B43" s="163" t="s">
        <v>1024</v>
      </c>
      <c r="C43" s="167">
        <v>83928</v>
      </c>
      <c r="D43" s="167">
        <v>250000</v>
      </c>
      <c r="E43" s="170">
        <v>250000</v>
      </c>
    </row>
    <row r="44" spans="2:9" x14ac:dyDescent="0.25">
      <c r="B44" s="163" t="s">
        <v>1043</v>
      </c>
      <c r="C44" s="167">
        <v>437730</v>
      </c>
      <c r="D44" s="167">
        <v>424653</v>
      </c>
      <c r="E44" s="170">
        <v>419142</v>
      </c>
    </row>
    <row r="45" spans="2:9" x14ac:dyDescent="0.25">
      <c r="B45" s="163" t="s">
        <v>1044</v>
      </c>
      <c r="C45" s="167">
        <v>74005</v>
      </c>
      <c r="D45" s="167">
        <v>74426</v>
      </c>
      <c r="E45" s="170">
        <v>83918</v>
      </c>
    </row>
    <row r="46" spans="2:9" x14ac:dyDescent="0.25">
      <c r="B46" s="163" t="s">
        <v>1045</v>
      </c>
      <c r="C46" s="167">
        <v>50751</v>
      </c>
      <c r="D46" s="167">
        <v>53526</v>
      </c>
      <c r="E46" s="170">
        <v>50808</v>
      </c>
    </row>
    <row r="47" spans="2:9" x14ac:dyDescent="0.25">
      <c r="B47" s="163" t="s">
        <v>1046</v>
      </c>
      <c r="C47" s="167">
        <v>46340</v>
      </c>
      <c r="D47" s="167">
        <v>50098</v>
      </c>
      <c r="E47" s="170">
        <v>42928</v>
      </c>
      <c r="G47" s="181">
        <f>SUM(C44:C47)</f>
        <v>608826</v>
      </c>
      <c r="H47" s="181">
        <f>SUM(D44:D47)</f>
        <v>602703</v>
      </c>
      <c r="I47" s="158">
        <f>SUM(E44:E47)</f>
        <v>596796</v>
      </c>
    </row>
    <row r="48" spans="2:9" x14ac:dyDescent="0.25">
      <c r="B48" s="171" t="s">
        <v>63</v>
      </c>
      <c r="C48" s="167">
        <v>56631</v>
      </c>
      <c r="D48" s="167">
        <v>262381</v>
      </c>
      <c r="E48" s="170">
        <v>212250</v>
      </c>
    </row>
    <row r="49" spans="2:5" x14ac:dyDescent="0.25">
      <c r="B49" s="183" t="s">
        <v>8</v>
      </c>
      <c r="C49" s="167">
        <v>-50400</v>
      </c>
      <c r="D49" s="167">
        <v>-31430</v>
      </c>
      <c r="E49" s="140">
        <f>'NR Rebate20'!E6*-1</f>
        <v>-26377</v>
      </c>
    </row>
    <row r="50" spans="2:5" x14ac:dyDescent="0.25">
      <c r="B50" s="102" t="s">
        <v>9</v>
      </c>
      <c r="C50" s="167">
        <v>4940</v>
      </c>
      <c r="D50" s="167">
        <v>0</v>
      </c>
      <c r="E50" s="170">
        <v>0</v>
      </c>
    </row>
    <row r="51" spans="2:5" x14ac:dyDescent="0.25">
      <c r="B51" s="162" t="s">
        <v>350</v>
      </c>
      <c r="C51" s="172" t="str">
        <f>IF(C52*0.1&lt;C50,"Exceed 10% Rule","")</f>
        <v/>
      </c>
      <c r="D51" s="172" t="str">
        <f>IF(D52*0.1&lt;D50,"Exceed 10% Rule","")</f>
        <v/>
      </c>
      <c r="E51" s="204" t="str">
        <f>IF(E52*0.1+E109&lt;E50,"Exceed 10% Rule","")</f>
        <v/>
      </c>
    </row>
    <row r="52" spans="2:5" x14ac:dyDescent="0.25">
      <c r="B52" s="174" t="s">
        <v>64</v>
      </c>
      <c r="C52" s="592">
        <f>SUM(C9:C50)</f>
        <v>4403382</v>
      </c>
      <c r="D52" s="592">
        <f>SUM(D9:D50)</f>
        <v>5078082</v>
      </c>
      <c r="E52" s="594">
        <f>SUM(E10:E50)</f>
        <v>4236587.47</v>
      </c>
    </row>
    <row r="53" spans="2:5" x14ac:dyDescent="0.25">
      <c r="B53" s="174" t="s">
        <v>65</v>
      </c>
      <c r="C53" s="592">
        <f>C7+C52</f>
        <v>4602908</v>
      </c>
      <c r="D53" s="592">
        <f>D7+D52</f>
        <v>5253914</v>
      </c>
      <c r="E53" s="594">
        <f>E7+E52</f>
        <v>4501088.47</v>
      </c>
    </row>
    <row r="54" spans="2:5" x14ac:dyDescent="0.25">
      <c r="B54" s="28"/>
      <c r="C54" s="28"/>
      <c r="D54" s="28"/>
      <c r="E54" s="28"/>
    </row>
    <row r="55" spans="2:5" x14ac:dyDescent="0.25">
      <c r="B55" s="80" t="s">
        <v>74</v>
      </c>
      <c r="C55" s="108">
        <f>IF(inputPrYr!D20&gt;0,7,6)</f>
        <v>7</v>
      </c>
      <c r="D55" s="109"/>
      <c r="E55" s="109"/>
    </row>
    <row r="56" spans="2:5" x14ac:dyDescent="0.25">
      <c r="B56" s="109"/>
      <c r="C56" s="109"/>
      <c r="D56" s="109"/>
      <c r="E56" s="109"/>
    </row>
    <row r="57" spans="2:5" x14ac:dyDescent="0.25">
      <c r="B57" s="47" t="str">
        <f>inputPrYr!D3</f>
        <v>The City of Colby</v>
      </c>
      <c r="C57" s="28"/>
      <c r="D57" s="28"/>
      <c r="E57" s="107"/>
    </row>
    <row r="58" spans="2:5" x14ac:dyDescent="0.25">
      <c r="B58" s="28"/>
      <c r="C58" s="28"/>
      <c r="D58" s="28"/>
      <c r="E58" s="80"/>
    </row>
    <row r="59" spans="2:5" x14ac:dyDescent="0.25">
      <c r="B59" s="178" t="s">
        <v>118</v>
      </c>
      <c r="C59" s="134"/>
      <c r="D59" s="134"/>
      <c r="E59" s="134"/>
    </row>
    <row r="60" spans="2:5" x14ac:dyDescent="0.25">
      <c r="B60" s="28" t="s">
        <v>57</v>
      </c>
      <c r="C60" s="443" t="s">
        <v>475</v>
      </c>
      <c r="D60" s="444" t="s">
        <v>476</v>
      </c>
      <c r="E60" s="87" t="s">
        <v>477</v>
      </c>
    </row>
    <row r="61" spans="2:5" x14ac:dyDescent="0.25">
      <c r="B61" s="47" t="str">
        <f>inputPrYr!B18</f>
        <v>General</v>
      </c>
      <c r="C61" s="137" t="str">
        <f>CONCATENATE("Actual for ",E1-2,"")</f>
        <v>Actual for 2024</v>
      </c>
      <c r="D61" s="137" t="str">
        <f>CONCATENATE("Estimate for ",E1-1,"")</f>
        <v>Estimate for 2025</v>
      </c>
      <c r="E61" s="122" t="str">
        <f>CONCATENATE("Year for ",E1,"")</f>
        <v>Year for 2026</v>
      </c>
    </row>
    <row r="62" spans="2:5" x14ac:dyDescent="0.25">
      <c r="B62" s="179" t="s">
        <v>65</v>
      </c>
      <c r="C62" s="165">
        <f>C53</f>
        <v>4602908</v>
      </c>
      <c r="D62" s="165">
        <f>D53</f>
        <v>5253914</v>
      </c>
      <c r="E62" s="140">
        <f>E53</f>
        <v>4501088.47</v>
      </c>
    </row>
    <row r="63" spans="2:5" x14ac:dyDescent="0.25">
      <c r="B63" s="166" t="s">
        <v>67</v>
      </c>
      <c r="C63" s="102"/>
      <c r="D63" s="102"/>
      <c r="E63" s="52"/>
    </row>
    <row r="64" spans="2:5" x14ac:dyDescent="0.25">
      <c r="B64" s="162" t="str">
        <f>'General Detail7b'!A7</f>
        <v>General Administration</v>
      </c>
      <c r="C64" s="165">
        <f>'General Detail7b'!B15</f>
        <v>334190</v>
      </c>
      <c r="D64" s="165">
        <f>'General Detail7b'!C15</f>
        <v>349144</v>
      </c>
      <c r="E64" s="140">
        <f>'General Detail7b'!D15</f>
        <v>365313</v>
      </c>
    </row>
    <row r="65" spans="2:6" x14ac:dyDescent="0.25">
      <c r="B65" s="162" t="str">
        <f>'General Detail7b'!A16</f>
        <v>Police</v>
      </c>
      <c r="C65" s="165">
        <f>'General Detail7b'!B22</f>
        <v>943286</v>
      </c>
      <c r="D65" s="165">
        <f>'General Detail7b'!C22</f>
        <v>934390</v>
      </c>
      <c r="E65" s="140">
        <f>'General Detail7b'!D22</f>
        <v>1057217</v>
      </c>
    </row>
    <row r="66" spans="2:6" x14ac:dyDescent="0.25">
      <c r="B66" s="162" t="str">
        <f>'General Detail7b'!A23</f>
        <v>Fire</v>
      </c>
      <c r="C66" s="165">
        <f>'General Detail7b'!B29</f>
        <v>401638</v>
      </c>
      <c r="D66" s="165">
        <f>'General Detail7b'!C29</f>
        <v>453656</v>
      </c>
      <c r="E66" s="140">
        <f>'General Detail7b'!D29</f>
        <v>487533</v>
      </c>
    </row>
    <row r="67" spans="2:6" x14ac:dyDescent="0.25">
      <c r="B67" s="162" t="str">
        <f>'General Detail7b'!A30</f>
        <v>Street</v>
      </c>
      <c r="C67" s="165">
        <f>'General Detail7b'!B35</f>
        <v>859444</v>
      </c>
      <c r="D67" s="165">
        <f>'General Detail7b'!C35</f>
        <v>813178</v>
      </c>
      <c r="E67" s="140">
        <f>'General Detail7b'!D35</f>
        <v>897578</v>
      </c>
    </row>
    <row r="68" spans="2:6" x14ac:dyDescent="0.25">
      <c r="B68" s="162" t="str">
        <f>'General Detail7b'!A36</f>
        <v>Communications</v>
      </c>
      <c r="C68" s="165">
        <f>'General Detail7b'!B42</f>
        <v>356397</v>
      </c>
      <c r="D68" s="165">
        <f>'General Detail7b'!C42</f>
        <v>429087</v>
      </c>
      <c r="E68" s="140">
        <f>'General Detail7b'!D42</f>
        <v>459316</v>
      </c>
      <c r="F68" s="181"/>
    </row>
    <row r="69" spans="2:6" x14ac:dyDescent="0.25">
      <c r="B69" s="162" t="str">
        <f>'General Detail7b'!A43</f>
        <v>Event Center</v>
      </c>
      <c r="C69" s="165">
        <f>'General Detail7b'!B49</f>
        <v>313294</v>
      </c>
      <c r="D69" s="165">
        <f>'General Detail7b'!C49</f>
        <v>342796</v>
      </c>
      <c r="E69" s="140">
        <f>'General Detail7b'!D49</f>
        <v>395036</v>
      </c>
      <c r="F69" s="181"/>
    </row>
    <row r="70" spans="2:6" x14ac:dyDescent="0.25">
      <c r="B70" s="162" t="str">
        <f>'General Detail7b'!A50</f>
        <v>Parks</v>
      </c>
      <c r="C70" s="165">
        <f>'General Detail7b'!B56</f>
        <v>184542</v>
      </c>
      <c r="D70" s="165">
        <f>'General Detail7b'!C56</f>
        <v>195668</v>
      </c>
      <c r="E70" s="140">
        <f>'General Detail7b'!D56</f>
        <v>254217</v>
      </c>
    </row>
    <row r="71" spans="2:6" x14ac:dyDescent="0.25">
      <c r="B71" s="162" t="str">
        <f>'General Detail7b'!A57</f>
        <v>Pool</v>
      </c>
      <c r="C71" s="165">
        <f>'General Detail7b'!B63</f>
        <v>261918</v>
      </c>
      <c r="D71" s="165">
        <f>'General Detail7b'!C63</f>
        <v>271131</v>
      </c>
      <c r="E71" s="140">
        <f>'General Detail7b'!D63</f>
        <v>285512</v>
      </c>
    </row>
    <row r="72" spans="2:6" x14ac:dyDescent="0.25">
      <c r="B72" s="162" t="str">
        <f>'General Detail7b'!A75</f>
        <v>Airport</v>
      </c>
      <c r="C72" s="165">
        <f>'General Detail7b'!B81</f>
        <v>257136</v>
      </c>
      <c r="D72" s="165">
        <f>'General Detail7b'!C81</f>
        <v>437393</v>
      </c>
      <c r="E72" s="140">
        <f>'General Detail7b'!D81</f>
        <v>383896</v>
      </c>
    </row>
    <row r="73" spans="2:6" x14ac:dyDescent="0.25">
      <c r="B73" s="162">
        <f>'General Detail7b'!A82</f>
        <v>0</v>
      </c>
      <c r="C73" s="165">
        <f>'General Detail7b'!B88</f>
        <v>0</v>
      </c>
      <c r="D73" s="165">
        <f>'General Detail7b'!C88</f>
        <v>0</v>
      </c>
      <c r="E73" s="140">
        <f>'General Detail7b'!D88</f>
        <v>0</v>
      </c>
    </row>
    <row r="74" spans="2:6" x14ac:dyDescent="0.25">
      <c r="B74" s="162">
        <f>'General Detail7b'!A89</f>
        <v>0</v>
      </c>
      <c r="C74" s="165">
        <f>'General Detail7b'!B95</f>
        <v>0</v>
      </c>
      <c r="D74" s="165">
        <f>'General Detail7b'!C95</f>
        <v>0</v>
      </c>
      <c r="E74" s="140">
        <f>'General Detail7b'!D95</f>
        <v>0</v>
      </c>
    </row>
    <row r="75" spans="2:6" x14ac:dyDescent="0.25">
      <c r="B75" s="162">
        <f>'General Detail7b'!A96</f>
        <v>0</v>
      </c>
      <c r="C75" s="165">
        <f>'General Detail7b'!B101</f>
        <v>0</v>
      </c>
      <c r="D75" s="165">
        <f>'General Detail7b'!C101</f>
        <v>0</v>
      </c>
      <c r="E75" s="140">
        <f>'General Detail7b'!D101</f>
        <v>0</v>
      </c>
    </row>
    <row r="76" spans="2:6" x14ac:dyDescent="0.25">
      <c r="B76" s="162">
        <f>'General Detail7b'!A102</f>
        <v>0</v>
      </c>
      <c r="C76" s="165">
        <f>'General Detail7b'!B108</f>
        <v>0</v>
      </c>
      <c r="D76" s="165">
        <f>'General Detail7b'!C108</f>
        <v>0</v>
      </c>
      <c r="E76" s="140">
        <f>'General Detail7b'!D108</f>
        <v>0</v>
      </c>
    </row>
    <row r="77" spans="2:6" x14ac:dyDescent="0.25">
      <c r="B77" s="162">
        <f>'General Detail7b'!A109</f>
        <v>0</v>
      </c>
      <c r="C77" s="165">
        <f>'General Detail7b'!B115</f>
        <v>0</v>
      </c>
      <c r="D77" s="165">
        <f>'General Detail7b'!C115</f>
        <v>0</v>
      </c>
      <c r="E77" s="140">
        <f>'General Detail7b'!D115</f>
        <v>0</v>
      </c>
    </row>
    <row r="78" spans="2:6" x14ac:dyDescent="0.25">
      <c r="B78" s="162">
        <f>'General Detail7b'!A116</f>
        <v>0</v>
      </c>
      <c r="C78" s="165">
        <f>'General Detail7b'!B122</f>
        <v>0</v>
      </c>
      <c r="D78" s="165">
        <f>'General Detail7b'!C122</f>
        <v>0</v>
      </c>
      <c r="E78" s="140">
        <f>'General Detail7b'!D122</f>
        <v>0</v>
      </c>
    </row>
    <row r="79" spans="2:6" x14ac:dyDescent="0.25">
      <c r="B79" s="162">
        <f>'General Detail7b'!A123</f>
        <v>0</v>
      </c>
      <c r="C79" s="165">
        <f>'General Detail7b'!B129</f>
        <v>0</v>
      </c>
      <c r="D79" s="165">
        <f>'General Detail7b'!C129</f>
        <v>0</v>
      </c>
      <c r="E79" s="140">
        <f>'General Detail7b'!D129</f>
        <v>0</v>
      </c>
    </row>
    <row r="80" spans="2:6" x14ac:dyDescent="0.25">
      <c r="B80" s="162" t="s">
        <v>321</v>
      </c>
      <c r="C80" s="253">
        <f>SUM(C64:C79)</f>
        <v>3911845</v>
      </c>
      <c r="D80" s="253">
        <f>SUM(D64:D79)</f>
        <v>4226443</v>
      </c>
      <c r="E80" s="193">
        <f>SUM(E64:E79)</f>
        <v>4585618</v>
      </c>
    </row>
    <row r="81" spans="2:10" x14ac:dyDescent="0.25">
      <c r="B81" s="171" t="s">
        <v>1025</v>
      </c>
      <c r="C81" s="167">
        <f>6750+2500+5500+281900+0+25000+12000+10000+36874</f>
        <v>380524</v>
      </c>
      <c r="D81" s="167">
        <f>6750+2500+12500+291900+0+35000+114500+10000+38225</f>
        <v>511375</v>
      </c>
      <c r="E81" s="170">
        <f>7029+2500+12500+290000+2786+35929+116786+10929+38225</f>
        <v>516684</v>
      </c>
    </row>
    <row r="82" spans="2:10" x14ac:dyDescent="0.25">
      <c r="B82" s="171" t="s">
        <v>1026</v>
      </c>
      <c r="C82" s="167">
        <f>6510+7857+20300+31000+39540+10000+14500+0+5000</f>
        <v>134707</v>
      </c>
      <c r="D82" s="167">
        <f>10050+25000+109850+52250+24945+10000+14500+0+5000</f>
        <v>251595</v>
      </c>
      <c r="E82" s="170">
        <f>10050+10000+117350+72250+22374+10000+14500+0+5000</f>
        <v>261524</v>
      </c>
    </row>
    <row r="83" spans="2:10" x14ac:dyDescent="0.25">
      <c r="B83" s="171"/>
      <c r="C83" s="167"/>
      <c r="D83" s="167"/>
      <c r="E83" s="170"/>
      <c r="G83" s="746" t="str">
        <f>CONCATENATE("Desired Carryover Into ",E1+1,"")</f>
        <v>Desired Carryover Into 2027</v>
      </c>
      <c r="H83" s="747"/>
      <c r="I83" s="747"/>
      <c r="J83" s="748"/>
    </row>
    <row r="84" spans="2:10" x14ac:dyDescent="0.25">
      <c r="B84" s="171"/>
      <c r="C84" s="167"/>
      <c r="D84" s="167"/>
      <c r="E84" s="170"/>
      <c r="G84" s="341"/>
      <c r="H84" s="338"/>
      <c r="I84" s="338"/>
      <c r="J84" s="342"/>
    </row>
    <row r="85" spans="2:10" x14ac:dyDescent="0.25">
      <c r="B85" s="171"/>
      <c r="C85" s="167"/>
      <c r="D85" s="167"/>
      <c r="E85" s="170"/>
      <c r="G85" s="350" t="s">
        <v>347</v>
      </c>
      <c r="H85" s="344"/>
      <c r="I85" s="344"/>
      <c r="J85" s="340">
        <v>0</v>
      </c>
    </row>
    <row r="86" spans="2:10" x14ac:dyDescent="0.25">
      <c r="B86" s="171"/>
      <c r="C86" s="167"/>
      <c r="D86" s="167"/>
      <c r="E86" s="170"/>
      <c r="G86" s="354" t="s">
        <v>348</v>
      </c>
      <c r="H86" s="337"/>
      <c r="I86" s="339"/>
      <c r="J86" s="353" t="str">
        <f>IF(J85=0,"",ROUND((J85+E109-G94)/inputOth!E7*1000,3)-General7a!G99)</f>
        <v/>
      </c>
    </row>
    <row r="87" spans="2:10" x14ac:dyDescent="0.25">
      <c r="B87" s="182"/>
      <c r="C87" s="167"/>
      <c r="D87" s="167"/>
      <c r="E87" s="170"/>
      <c r="G87" s="372" t="str">
        <f>CONCATENATE("",E1," Total Expenditures Must Be:")</f>
        <v>2026 Total Expenditures Must Be:</v>
      </c>
      <c r="H87" s="373"/>
      <c r="I87" s="374"/>
      <c r="J87" s="352">
        <f>IF(J85&gt;0,IF(E106&lt;E53,IF(J85=G94,E106,((J85-G94)*(1-D108))+E53),E106+(J85-G94)),0)</f>
        <v>0</v>
      </c>
    </row>
    <row r="88" spans="2:10" x14ac:dyDescent="0.25">
      <c r="B88" s="182"/>
      <c r="C88" s="167"/>
      <c r="D88" s="167"/>
      <c r="E88" s="170"/>
      <c r="G88" s="375" t="s">
        <v>420</v>
      </c>
      <c r="H88" s="376"/>
      <c r="I88" s="377"/>
      <c r="J88" s="397">
        <f>IF(J85&gt;0,J87-E106,0)</f>
        <v>0</v>
      </c>
    </row>
    <row r="89" spans="2:10" x14ac:dyDescent="0.25">
      <c r="B89" s="182"/>
      <c r="C89" s="167"/>
      <c r="D89" s="167"/>
      <c r="E89" s="170"/>
    </row>
    <row r="90" spans="2:10" x14ac:dyDescent="0.25">
      <c r="B90" s="182"/>
      <c r="C90" s="167"/>
      <c r="D90" s="167"/>
      <c r="E90" s="170"/>
      <c r="G90" s="746" t="str">
        <f>CONCATENATE("Projected Carryover Into ",E1+1,"")</f>
        <v>Projected Carryover Into 2027</v>
      </c>
      <c r="H90" s="754"/>
      <c r="I90" s="754"/>
      <c r="J90" s="755"/>
    </row>
    <row r="91" spans="2:10" x14ac:dyDescent="0.25">
      <c r="B91" s="182"/>
      <c r="C91" s="167"/>
      <c r="D91" s="167"/>
      <c r="E91" s="170"/>
      <c r="G91" s="661">
        <f>SUM(E62)</f>
        <v>4501088.47</v>
      </c>
      <c r="H91" s="662" t="str">
        <f>CONCATENATE("Total ",E1," Resources Available")</f>
        <v>Total 2026 Resources Available</v>
      </c>
      <c r="I91" s="663"/>
      <c r="J91" s="664"/>
    </row>
    <row r="92" spans="2:10" x14ac:dyDescent="0.25">
      <c r="B92" s="182"/>
      <c r="C92" s="167"/>
      <c r="D92" s="167"/>
      <c r="E92" s="170"/>
      <c r="G92" s="346"/>
      <c r="H92" s="344"/>
      <c r="I92" s="344"/>
      <c r="J92" s="342"/>
    </row>
    <row r="93" spans="2:10" x14ac:dyDescent="0.25">
      <c r="B93" s="182"/>
      <c r="C93" s="167"/>
      <c r="D93" s="167"/>
      <c r="E93" s="170"/>
      <c r="G93" s="345">
        <f>C102*0.05+C102</f>
        <v>4648429.8</v>
      </c>
      <c r="H93" s="344" t="str">
        <f>CONCATENATE("Less ",E1-2," Expenditures + 5%")</f>
        <v>Less 2024 Expenditures + 5%</v>
      </c>
      <c r="I93" s="343"/>
      <c r="J93" s="342"/>
    </row>
    <row r="94" spans="2:10" x14ac:dyDescent="0.25">
      <c r="B94" s="182"/>
      <c r="C94" s="167"/>
      <c r="D94" s="167"/>
      <c r="E94" s="170"/>
      <c r="G94" s="351">
        <f>G91-G93</f>
        <v>-147341.33000000007</v>
      </c>
      <c r="H94" s="347" t="str">
        <f>CONCATENATE("Projected ",E1+1," Carryover (est.)")</f>
        <v>Projected 2027 Carryover (est.)</v>
      </c>
      <c r="I94" s="348"/>
      <c r="J94" s="349"/>
    </row>
    <row r="95" spans="2:10" x14ac:dyDescent="0.25">
      <c r="B95" s="182"/>
      <c r="C95" s="167"/>
      <c r="D95" s="167"/>
      <c r="E95" s="170"/>
    </row>
    <row r="96" spans="2:10" x14ac:dyDescent="0.25">
      <c r="B96" s="182"/>
      <c r="C96" s="167"/>
      <c r="D96" s="167"/>
      <c r="E96" s="170"/>
      <c r="G96" s="756" t="s">
        <v>706</v>
      </c>
      <c r="H96" s="757"/>
      <c r="I96" s="757"/>
      <c r="J96" s="758"/>
    </row>
    <row r="97" spans="2:10" x14ac:dyDescent="0.25">
      <c r="B97" s="182"/>
      <c r="C97" s="167"/>
      <c r="D97" s="167"/>
      <c r="E97" s="170"/>
      <c r="G97" s="759"/>
      <c r="H97" s="760"/>
      <c r="I97" s="760"/>
      <c r="J97" s="761"/>
    </row>
    <row r="98" spans="2:10" x14ac:dyDescent="0.25">
      <c r="B98" s="182"/>
      <c r="C98" s="167"/>
      <c r="D98" s="167"/>
      <c r="E98" s="170"/>
      <c r="G98" s="580">
        <f>'Budget Hearing Notice'!H15</f>
        <v>13.206</v>
      </c>
      <c r="H98" s="378" t="str">
        <f>CONCATENATE("",E1," Estimated Fund Mill Rate")</f>
        <v>2026 Estimated Fund Mill Rate</v>
      </c>
      <c r="I98" s="581"/>
      <c r="J98" s="582"/>
    </row>
    <row r="99" spans="2:10" x14ac:dyDescent="0.25">
      <c r="B99" s="183" t="str">
        <f>CONCATENATE("Cash Reserve (",E1," column)")</f>
        <v>Cash Reserve (2026 column)</v>
      </c>
      <c r="C99" s="167"/>
      <c r="D99" s="167"/>
      <c r="E99" s="170"/>
      <c r="G99" s="583">
        <f>'Budget Hearing Notice'!E15</f>
        <v>13.518000000000001</v>
      </c>
      <c r="H99" s="378" t="str">
        <f>CONCATENATE("",E1-1," Fund Mill Rate")</f>
        <v>2025 Fund Mill Rate</v>
      </c>
      <c r="I99" s="581"/>
      <c r="J99" s="582"/>
    </row>
    <row r="100" spans="2:10" x14ac:dyDescent="0.25">
      <c r="B100" s="183" t="s">
        <v>9</v>
      </c>
      <c r="C100" s="167"/>
      <c r="D100" s="167"/>
      <c r="E100" s="170"/>
      <c r="G100" s="584">
        <f>inputOth!D20</f>
        <v>33.582999999999998</v>
      </c>
      <c r="H100" s="585" t="s">
        <v>707</v>
      </c>
      <c r="I100" s="581"/>
      <c r="J100" s="582"/>
    </row>
    <row r="101" spans="2:10" x14ac:dyDescent="0.25">
      <c r="B101" s="183" t="s">
        <v>351</v>
      </c>
      <c r="C101" s="172" t="str">
        <f>IF(C102*0.1&lt;C100,"Exceed 10% Rule","")</f>
        <v/>
      </c>
      <c r="D101" s="172" t="str">
        <f>IF(D102*0.1&lt;D100,"Exceed 10% Rule","")</f>
        <v/>
      </c>
      <c r="E101" s="204" t="str">
        <f>IF(E102*0.1&lt;E100,"Exceed 10% Rule","")</f>
        <v/>
      </c>
      <c r="G101" s="580">
        <f>'Budget Hearing Notice'!H52</f>
        <v>34.4</v>
      </c>
      <c r="H101" s="378" t="str">
        <f>CONCATENATE(E1," Estimated Total Mill Rate")</f>
        <v>2026 Estimated Total Mill Rate</v>
      </c>
      <c r="I101" s="581"/>
      <c r="J101" s="582"/>
    </row>
    <row r="102" spans="2:10" x14ac:dyDescent="0.25">
      <c r="B102" s="174" t="s">
        <v>71</v>
      </c>
      <c r="C102" s="593">
        <f>SUM(C80:C100)</f>
        <v>4427076</v>
      </c>
      <c r="D102" s="593">
        <f>SUM(D80:D100)</f>
        <v>4989413</v>
      </c>
      <c r="E102" s="593">
        <f>SUM(E80:E100)</f>
        <v>5363826</v>
      </c>
      <c r="G102" s="586">
        <f>'Budget Hearing Notice'!E52</f>
        <v>34.4</v>
      </c>
      <c r="H102" s="378" t="str">
        <f>CONCATENATE(E1-1," Total Mill Rate")</f>
        <v>2025 Total Mill Rate</v>
      </c>
      <c r="I102" s="581"/>
      <c r="J102" s="582"/>
    </row>
    <row r="103" spans="2:10" x14ac:dyDescent="0.25">
      <c r="B103" s="93" t="s">
        <v>134</v>
      </c>
      <c r="C103" s="447">
        <f>C53-C102</f>
        <v>175832</v>
      </c>
      <c r="D103" s="447">
        <f>D53-D102</f>
        <v>264501</v>
      </c>
      <c r="E103" s="169" t="s">
        <v>49</v>
      </c>
      <c r="G103" s="398"/>
      <c r="H103" s="385"/>
      <c r="I103" s="385"/>
      <c r="J103" s="405"/>
    </row>
    <row r="104" spans="2:10" x14ac:dyDescent="0.25">
      <c r="B104" s="108" t="str">
        <f>CONCATENATE("",E1-2,"/",E1-1,"/",E1," Budget Authority Amount:")</f>
        <v>2024/2025/2026 Budget Authority Amount:</v>
      </c>
      <c r="C104" s="447">
        <f>inputOth!B63</f>
        <v>4574546</v>
      </c>
      <c r="D104" s="447">
        <f>inputPrYr!D18</f>
        <v>5184704</v>
      </c>
      <c r="E104" s="455">
        <f>E102</f>
        <v>5363826</v>
      </c>
      <c r="G104" s="762" t="s">
        <v>708</v>
      </c>
      <c r="H104" s="763"/>
      <c r="I104" s="763"/>
      <c r="J104" s="766" t="str">
        <f>IF(G101&gt;G100, "Yes", "No")</f>
        <v>Yes</v>
      </c>
    </row>
    <row r="105" spans="2:10" x14ac:dyDescent="0.25">
      <c r="B105" s="80"/>
      <c r="C105" s="749" t="s">
        <v>319</v>
      </c>
      <c r="D105" s="750"/>
      <c r="E105" s="170"/>
      <c r="G105" s="764"/>
      <c r="H105" s="765"/>
      <c r="I105" s="765"/>
      <c r="J105" s="767"/>
    </row>
    <row r="106" spans="2:10" x14ac:dyDescent="0.25">
      <c r="B106" s="331" t="str">
        <f>CONCATENATE(C127,"     ",D127)</f>
        <v xml:space="preserve">     </v>
      </c>
      <c r="C106" s="751" t="s">
        <v>320</v>
      </c>
      <c r="D106" s="752"/>
      <c r="E106" s="140">
        <f>E102+E105</f>
        <v>5363826</v>
      </c>
      <c r="G106" s="768" t="str">
        <f>IF(J104="Yes", "Follow procedure prescribed by KSA 79-2988 to exceed the Revenue Neutral Rate.", " ")</f>
        <v>Follow procedure prescribed by KSA 79-2988 to exceed the Revenue Neutral Rate.</v>
      </c>
      <c r="H106" s="768"/>
      <c r="I106" s="768"/>
      <c r="J106" s="768"/>
    </row>
    <row r="107" spans="2:10" ht="15.75" customHeight="1" x14ac:dyDescent="0.25">
      <c r="B107" s="331" t="str">
        <f>CONCATENATE(C128,"     ",D128)</f>
        <v xml:space="preserve">     </v>
      </c>
      <c r="C107" s="185"/>
      <c r="D107" s="107" t="s">
        <v>72</v>
      </c>
      <c r="E107" s="447">
        <f>IF(E106-E53&gt;0,E106-E53,0)</f>
        <v>862737.53000000026</v>
      </c>
      <c r="G107" s="769"/>
      <c r="H107" s="769"/>
      <c r="I107" s="769"/>
      <c r="J107" s="769"/>
    </row>
    <row r="108" spans="2:10" x14ac:dyDescent="0.25">
      <c r="B108" s="107"/>
      <c r="C108" s="257" t="s">
        <v>318</v>
      </c>
      <c r="D108" s="451">
        <f>inputOth!$E$50</f>
        <v>0</v>
      </c>
      <c r="E108" s="140">
        <f>ROUND(IF(D108&gt;0,(E107*D108),0),0)</f>
        <v>0</v>
      </c>
      <c r="G108" s="769"/>
      <c r="H108" s="769"/>
      <c r="I108" s="769"/>
      <c r="J108" s="769"/>
    </row>
    <row r="109" spans="2:10" ht="16" thickBot="1" x14ac:dyDescent="0.3">
      <c r="B109" s="28"/>
      <c r="C109" s="726" t="str">
        <f>CONCATENATE("Amount of  ",$E$1-1," Ad Valorem Tax")</f>
        <v>Amount of  2025 Ad Valorem Tax</v>
      </c>
      <c r="D109" s="753"/>
      <c r="E109" s="382">
        <f>E107+E108</f>
        <v>862737.53000000026</v>
      </c>
      <c r="F109" s="184"/>
    </row>
    <row r="110" spans="2:10" ht="16" thickTop="1" x14ac:dyDescent="0.25">
      <c r="B110" s="28"/>
      <c r="C110" s="28"/>
      <c r="D110" s="28"/>
      <c r="E110" s="28"/>
      <c r="F110" s="295" t="str">
        <f>IF(E102/0.95-E102&lt;E105,"Exceeds 5%","")</f>
        <v/>
      </c>
    </row>
    <row r="111" spans="2:10" x14ac:dyDescent="0.25">
      <c r="B111" s="540" t="s">
        <v>535</v>
      </c>
      <c r="C111" s="69"/>
      <c r="D111" s="69"/>
      <c r="E111" s="512"/>
    </row>
    <row r="112" spans="2:10" x14ac:dyDescent="0.25">
      <c r="B112" s="398"/>
      <c r="C112" s="28"/>
      <c r="D112" s="28"/>
      <c r="E112" s="405"/>
    </row>
    <row r="113" spans="2:5" x14ac:dyDescent="0.25">
      <c r="B113" s="515"/>
      <c r="C113" s="43"/>
      <c r="D113" s="43"/>
      <c r="E113" s="49"/>
    </row>
    <row r="114" spans="2:5" x14ac:dyDescent="0.25">
      <c r="B114" s="28"/>
      <c r="C114" s="28"/>
      <c r="D114" s="28"/>
      <c r="E114" s="28"/>
    </row>
    <row r="115" spans="2:5" ht="15.75" customHeight="1" x14ac:dyDescent="0.25">
      <c r="B115" s="80" t="s">
        <v>74</v>
      </c>
      <c r="C115" s="108" t="str">
        <f>CONCATENATE("",C55,"a")</f>
        <v>7a</v>
      </c>
      <c r="D115" s="109"/>
      <c r="E115" s="109"/>
    </row>
    <row r="116" spans="2:5" ht="15.75" customHeight="1" x14ac:dyDescent="0.25"/>
    <row r="117" spans="2:5" x14ac:dyDescent="0.25">
      <c r="B117" s="64"/>
    </row>
    <row r="120" spans="2:5" x14ac:dyDescent="0.25">
      <c r="B120" s="24"/>
      <c r="C120" s="24"/>
    </row>
    <row r="127" spans="2:5" x14ac:dyDescent="0.25">
      <c r="C127" s="330" t="str">
        <f>IF(C102&gt;C104,"See Tab A","")</f>
        <v/>
      </c>
      <c r="D127" s="330" t="str">
        <f>IF(D102&gt;D104,"See Tab C","")</f>
        <v/>
      </c>
    </row>
    <row r="128" spans="2:5" hidden="1" x14ac:dyDescent="0.25">
      <c r="C128" s="330" t="str">
        <f>IF(C103&lt;0,"See Tab B","")</f>
        <v/>
      </c>
      <c r="D128" s="330" t="str">
        <f>IF(D103&lt;0,"See Tab D","")</f>
        <v/>
      </c>
    </row>
    <row r="129" hidden="1" x14ac:dyDescent="0.25"/>
  </sheetData>
  <mergeCells count="9">
    <mergeCell ref="G83:J83"/>
    <mergeCell ref="C105:D105"/>
    <mergeCell ref="C106:D106"/>
    <mergeCell ref="C109:D109"/>
    <mergeCell ref="G90:J90"/>
    <mergeCell ref="G96:J97"/>
    <mergeCell ref="G104:I105"/>
    <mergeCell ref="J104:J105"/>
    <mergeCell ref="G106:J108"/>
  </mergeCells>
  <phoneticPr fontId="0" type="noConversion"/>
  <conditionalFormatting sqref="C50">
    <cfRule type="cellIs" dxfId="332" priority="16" stopIfTrue="1" operator="greaterThan">
      <formula>$C$52*0.1</formula>
    </cfRule>
  </conditionalFormatting>
  <conditionalFormatting sqref="C100">
    <cfRule type="cellIs" dxfId="331" priority="13" stopIfTrue="1" operator="greaterThan">
      <formula>$C$102*0.1</formula>
    </cfRule>
  </conditionalFormatting>
  <conditionalFormatting sqref="C102">
    <cfRule type="expression" dxfId="330" priority="5">
      <formula>$C$102&gt;$C$104</formula>
    </cfRule>
  </conditionalFormatting>
  <conditionalFormatting sqref="C103">
    <cfRule type="expression" dxfId="329" priority="3">
      <formula>$C$103&lt;0</formula>
    </cfRule>
  </conditionalFormatting>
  <conditionalFormatting sqref="D50">
    <cfRule type="cellIs" dxfId="328" priority="15" stopIfTrue="1" operator="greaterThan">
      <formula>$D$52*0.1</formula>
    </cfRule>
  </conditionalFormatting>
  <conditionalFormatting sqref="D100">
    <cfRule type="cellIs" dxfId="327" priority="14" stopIfTrue="1" operator="greaterThan">
      <formula>$D$102*0.1</formula>
    </cfRule>
  </conditionalFormatting>
  <conditionalFormatting sqref="D102">
    <cfRule type="expression" dxfId="326" priority="2">
      <formula>$D$102&gt;$D$104</formula>
    </cfRule>
  </conditionalFormatting>
  <conditionalFormatting sqref="D103">
    <cfRule type="expression" dxfId="325" priority="1">
      <formula>$D$103&lt;0</formula>
    </cfRule>
  </conditionalFormatting>
  <conditionalFormatting sqref="E50">
    <cfRule type="cellIs" dxfId="324" priority="17" stopIfTrue="1" operator="greaterThan">
      <formula>$E$52*0.1+E109</formula>
    </cfRule>
  </conditionalFormatting>
  <conditionalFormatting sqref="E100">
    <cfRule type="cellIs" dxfId="323" priority="8" stopIfTrue="1" operator="greaterThan">
      <formula>$E$102*0.1</formula>
    </cfRule>
  </conditionalFormatting>
  <conditionalFormatting sqref="E105">
    <cfRule type="cellIs" dxfId="322" priority="9" stopIfTrue="1" operator="greaterThan">
      <formula>$E$102/0.95-$E$102</formula>
    </cfRule>
  </conditionalFormatting>
  <conditionalFormatting sqref="J104">
    <cfRule type="containsText" dxfId="321" priority="6" operator="containsText" text="Yes">
      <formula>NOT(ISERROR(SEARCH("Yes",J104)))</formula>
    </cfRule>
  </conditionalFormatting>
  <pageMargins left="0.5" right="0.5" top="1" bottom="0.5" header="0.5" footer="0.5"/>
  <pageSetup scale="68" fitToHeight="2" orientation="portrait" blackAndWhite="1" r:id="rId1"/>
  <headerFooter alignWithMargins="0">
    <oddHeader>&amp;RState of Kansas
City</oddHeader>
  </headerFooter>
  <rowBreaks count="1" manualBreakCount="1">
    <brk id="55" min="1"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DD571"/>
    <pageSetUpPr fitToPage="1"/>
  </sheetPr>
  <dimension ref="A1:D135"/>
  <sheetViews>
    <sheetView topLeftCell="A68" zoomScaleNormal="100" workbookViewId="0">
      <selection activeCell="I54" sqref="I54"/>
    </sheetView>
  </sheetViews>
  <sheetFormatPr defaultColWidth="8.9140625" defaultRowHeight="15.5" x14ac:dyDescent="0.25"/>
  <cols>
    <col min="1" max="1" width="28.33203125" style="24" customWidth="1"/>
    <col min="2" max="3" width="15.75" style="24" customWidth="1"/>
    <col min="4" max="4" width="16.08203125" style="24" customWidth="1"/>
    <col min="5" max="16384" width="8.9140625" style="24"/>
  </cols>
  <sheetData>
    <row r="1" spans="1:4" x14ac:dyDescent="0.25">
      <c r="A1" s="47" t="str">
        <f>inputPrYr!D3</f>
        <v>The City of Colby</v>
      </c>
      <c r="B1" s="28"/>
      <c r="C1" s="108"/>
      <c r="D1" s="28">
        <f>inputPrYr!C6</f>
        <v>2026</v>
      </c>
    </row>
    <row r="2" spans="1:4" x14ac:dyDescent="0.25">
      <c r="A2" s="28"/>
      <c r="B2" s="28"/>
      <c r="C2" s="28"/>
      <c r="D2" s="108"/>
    </row>
    <row r="3" spans="1:4" x14ac:dyDescent="0.25">
      <c r="A3" s="362"/>
      <c r="B3" s="161"/>
      <c r="C3" s="161"/>
      <c r="D3" s="161"/>
    </row>
    <row r="4" spans="1:4" x14ac:dyDescent="0.25">
      <c r="A4" s="108" t="s">
        <v>57</v>
      </c>
      <c r="B4" s="186" t="s">
        <v>475</v>
      </c>
      <c r="C4" s="87" t="s">
        <v>476</v>
      </c>
      <c r="D4" s="87" t="s">
        <v>477</v>
      </c>
    </row>
    <row r="5" spans="1:4" x14ac:dyDescent="0.25">
      <c r="A5" s="362" t="s">
        <v>267</v>
      </c>
      <c r="B5" s="92" t="str">
        <f>CONCATENATE("Actual for ",D1-2,"")</f>
        <v>Actual for 2024</v>
      </c>
      <c r="C5" s="92" t="str">
        <f>CONCATENATE("Estimate for ",D1-1,"")</f>
        <v>Estimate for 2025</v>
      </c>
      <c r="D5" s="92" t="str">
        <f>CONCATENATE("Year for ",D1,"")</f>
        <v>Year for 2026</v>
      </c>
    </row>
    <row r="6" spans="1:4" x14ac:dyDescent="0.25">
      <c r="A6" s="138" t="s">
        <v>67</v>
      </c>
      <c r="B6" s="52"/>
      <c r="C6" s="52"/>
      <c r="D6" s="52"/>
    </row>
    <row r="7" spans="1:4" x14ac:dyDescent="0.25">
      <c r="A7" s="187" t="s">
        <v>1047</v>
      </c>
      <c r="B7" s="52"/>
      <c r="C7" s="52"/>
      <c r="D7" s="52"/>
    </row>
    <row r="8" spans="1:4" x14ac:dyDescent="0.25">
      <c r="A8" s="188" t="s">
        <v>75</v>
      </c>
      <c r="B8" s="170">
        <v>217645</v>
      </c>
      <c r="C8" s="170">
        <v>226865</v>
      </c>
      <c r="D8" s="170">
        <v>230906</v>
      </c>
    </row>
    <row r="9" spans="1:4" x14ac:dyDescent="0.25">
      <c r="A9" s="188" t="s">
        <v>68</v>
      </c>
      <c r="B9" s="170">
        <v>89433</v>
      </c>
      <c r="C9" s="170">
        <v>91508</v>
      </c>
      <c r="D9" s="170">
        <v>102457</v>
      </c>
    </row>
    <row r="10" spans="1:4" x14ac:dyDescent="0.25">
      <c r="A10" s="188" t="s">
        <v>69</v>
      </c>
      <c r="B10" s="170">
        <v>25807</v>
      </c>
      <c r="C10" s="170">
        <v>27021</v>
      </c>
      <c r="D10" s="170">
        <v>28200</v>
      </c>
    </row>
    <row r="11" spans="1:4" x14ac:dyDescent="0.25">
      <c r="A11" s="188" t="s">
        <v>70</v>
      </c>
      <c r="B11" s="170">
        <v>1305</v>
      </c>
      <c r="C11" s="170">
        <v>3750</v>
      </c>
      <c r="D11" s="170">
        <v>3750</v>
      </c>
    </row>
    <row r="12" spans="1:4" x14ac:dyDescent="0.25">
      <c r="A12" s="188"/>
      <c r="B12" s="170"/>
      <c r="C12" s="170"/>
      <c r="D12" s="170"/>
    </row>
    <row r="13" spans="1:4" x14ac:dyDescent="0.25">
      <c r="A13" s="41"/>
      <c r="B13" s="170"/>
      <c r="C13" s="170"/>
      <c r="D13" s="170"/>
    </row>
    <row r="14" spans="1:4" x14ac:dyDescent="0.25">
      <c r="A14" s="41"/>
      <c r="B14" s="170"/>
      <c r="C14" s="170"/>
      <c r="D14" s="170"/>
    </row>
    <row r="15" spans="1:4" x14ac:dyDescent="0.25">
      <c r="A15" s="138" t="s">
        <v>35</v>
      </c>
      <c r="B15" s="175">
        <f>SUM(B8:B14)</f>
        <v>334190</v>
      </c>
      <c r="C15" s="175">
        <f>SUM(C8:C14)</f>
        <v>349144</v>
      </c>
      <c r="D15" s="175">
        <f>SUM(D8:D14)</f>
        <v>365313</v>
      </c>
    </row>
    <row r="16" spans="1:4" x14ac:dyDescent="0.25">
      <c r="A16" s="189" t="s">
        <v>1049</v>
      </c>
      <c r="B16" s="47"/>
      <c r="C16" s="47"/>
      <c r="D16" s="47"/>
    </row>
    <row r="17" spans="1:4" x14ac:dyDescent="0.25">
      <c r="A17" s="188" t="s">
        <v>75</v>
      </c>
      <c r="B17" s="170">
        <v>726906</v>
      </c>
      <c r="C17" s="170">
        <v>755645</v>
      </c>
      <c r="D17" s="170">
        <v>814107</v>
      </c>
    </row>
    <row r="18" spans="1:4" x14ac:dyDescent="0.25">
      <c r="A18" s="188" t="s">
        <v>68</v>
      </c>
      <c r="B18" s="170">
        <v>90720</v>
      </c>
      <c r="C18" s="170">
        <v>89745</v>
      </c>
      <c r="D18" s="170">
        <v>98120</v>
      </c>
    </row>
    <row r="19" spans="1:4" x14ac:dyDescent="0.25">
      <c r="A19" s="188" t="s">
        <v>69</v>
      </c>
      <c r="B19" s="170">
        <v>51745</v>
      </c>
      <c r="C19" s="170">
        <v>59000</v>
      </c>
      <c r="D19" s="170">
        <v>67010</v>
      </c>
    </row>
    <row r="20" spans="1:4" x14ac:dyDescent="0.25">
      <c r="A20" s="188" t="s">
        <v>70</v>
      </c>
      <c r="B20" s="170">
        <v>73915</v>
      </c>
      <c r="C20" s="170">
        <v>30000</v>
      </c>
      <c r="D20" s="170">
        <v>77980</v>
      </c>
    </row>
    <row r="21" spans="1:4" x14ac:dyDescent="0.25">
      <c r="A21" s="188"/>
      <c r="B21" s="170"/>
      <c r="C21" s="170"/>
      <c r="D21" s="170"/>
    </row>
    <row r="22" spans="1:4" x14ac:dyDescent="0.25">
      <c r="A22" s="138" t="s">
        <v>35</v>
      </c>
      <c r="B22" s="175">
        <f>SUM(B17:B21)</f>
        <v>943286</v>
      </c>
      <c r="C22" s="175">
        <f>SUM(C17:C21)</f>
        <v>934390</v>
      </c>
      <c r="D22" s="175">
        <f>SUM(D17:D21)</f>
        <v>1057217</v>
      </c>
    </row>
    <row r="23" spans="1:4" x14ac:dyDescent="0.25">
      <c r="A23" s="189" t="s">
        <v>1050</v>
      </c>
      <c r="B23" s="47"/>
      <c r="C23" s="47"/>
      <c r="D23" s="47"/>
    </row>
    <row r="24" spans="1:4" x14ac:dyDescent="0.25">
      <c r="A24" s="188" t="s">
        <v>75</v>
      </c>
      <c r="B24" s="170">
        <v>311084</v>
      </c>
      <c r="C24" s="170">
        <v>350245</v>
      </c>
      <c r="D24" s="170">
        <v>388408</v>
      </c>
    </row>
    <row r="25" spans="1:4" x14ac:dyDescent="0.25">
      <c r="A25" s="188" t="s">
        <v>68</v>
      </c>
      <c r="B25" s="170">
        <v>59178</v>
      </c>
      <c r="C25" s="170">
        <v>81761</v>
      </c>
      <c r="D25" s="170">
        <v>73525</v>
      </c>
    </row>
    <row r="26" spans="1:4" x14ac:dyDescent="0.25">
      <c r="A26" s="188" t="s">
        <v>69</v>
      </c>
      <c r="B26" s="170">
        <v>16176</v>
      </c>
      <c r="C26" s="170">
        <v>15350</v>
      </c>
      <c r="D26" s="170">
        <v>17500</v>
      </c>
    </row>
    <row r="27" spans="1:4" x14ac:dyDescent="0.25">
      <c r="A27" s="188" t="s">
        <v>70</v>
      </c>
      <c r="B27" s="170">
        <v>15200</v>
      </c>
      <c r="C27" s="170">
        <v>6300</v>
      </c>
      <c r="D27" s="170">
        <v>8100</v>
      </c>
    </row>
    <row r="28" spans="1:4" x14ac:dyDescent="0.25">
      <c r="A28" s="188"/>
      <c r="B28" s="170"/>
      <c r="C28" s="170"/>
      <c r="D28" s="170"/>
    </row>
    <row r="29" spans="1:4" x14ac:dyDescent="0.25">
      <c r="A29" s="138" t="s">
        <v>35</v>
      </c>
      <c r="B29" s="175">
        <f>SUM(B24:B28)</f>
        <v>401638</v>
      </c>
      <c r="C29" s="175">
        <f>SUM(C24:C28)</f>
        <v>453656</v>
      </c>
      <c r="D29" s="175">
        <f>SUM(D24:D28)</f>
        <v>487533</v>
      </c>
    </row>
    <row r="30" spans="1:4" x14ac:dyDescent="0.25">
      <c r="A30" s="189" t="s">
        <v>1051</v>
      </c>
      <c r="B30" s="47"/>
      <c r="C30" s="47"/>
      <c r="D30" s="47"/>
    </row>
    <row r="31" spans="1:4" x14ac:dyDescent="0.25">
      <c r="A31" s="188" t="s">
        <v>75</v>
      </c>
      <c r="B31" s="170">
        <v>281851</v>
      </c>
      <c r="C31" s="170">
        <v>324118</v>
      </c>
      <c r="D31" s="170">
        <v>361778</v>
      </c>
    </row>
    <row r="32" spans="1:4" x14ac:dyDescent="0.25">
      <c r="A32" s="188" t="s">
        <v>68</v>
      </c>
      <c r="B32" s="170">
        <v>60681</v>
      </c>
      <c r="C32" s="170">
        <v>61950</v>
      </c>
      <c r="D32" s="170">
        <v>64900</v>
      </c>
    </row>
    <row r="33" spans="1:4" x14ac:dyDescent="0.25">
      <c r="A33" s="188" t="s">
        <v>69</v>
      </c>
      <c r="B33" s="170">
        <v>71322</v>
      </c>
      <c r="C33" s="170">
        <v>72110</v>
      </c>
      <c r="D33" s="170">
        <v>75900</v>
      </c>
    </row>
    <row r="34" spans="1:4" x14ac:dyDescent="0.25">
      <c r="A34" s="188" t="s">
        <v>70</v>
      </c>
      <c r="B34" s="170">
        <v>445590</v>
      </c>
      <c r="C34" s="170">
        <v>355000</v>
      </c>
      <c r="D34" s="170">
        <v>395000</v>
      </c>
    </row>
    <row r="35" spans="1:4" x14ac:dyDescent="0.25">
      <c r="A35" s="138" t="s">
        <v>35</v>
      </c>
      <c r="B35" s="175">
        <f>SUM(B31:B34)</f>
        <v>859444</v>
      </c>
      <c r="C35" s="175">
        <f>SUM(C31:C34)</f>
        <v>813178</v>
      </c>
      <c r="D35" s="175">
        <f>SUM(D31:D34)</f>
        <v>897578</v>
      </c>
    </row>
    <row r="36" spans="1:4" x14ac:dyDescent="0.25">
      <c r="A36" s="189" t="s">
        <v>1052</v>
      </c>
      <c r="B36" s="47"/>
      <c r="C36" s="47"/>
      <c r="D36" s="47"/>
    </row>
    <row r="37" spans="1:4" x14ac:dyDescent="0.25">
      <c r="A37" s="188" t="s">
        <v>75</v>
      </c>
      <c r="B37" s="170">
        <v>332341</v>
      </c>
      <c r="C37" s="170">
        <v>397899</v>
      </c>
      <c r="D37" s="170">
        <v>424591</v>
      </c>
    </row>
    <row r="38" spans="1:4" x14ac:dyDescent="0.25">
      <c r="A38" s="188" t="s">
        <v>68</v>
      </c>
      <c r="B38" s="170">
        <v>14193</v>
      </c>
      <c r="C38" s="170">
        <v>13650</v>
      </c>
      <c r="D38" s="170">
        <v>20575</v>
      </c>
    </row>
    <row r="39" spans="1:4" x14ac:dyDescent="0.25">
      <c r="A39" s="188" t="s">
        <v>69</v>
      </c>
      <c r="B39" s="170">
        <v>6768</v>
      </c>
      <c r="C39" s="170">
        <v>6500</v>
      </c>
      <c r="D39" s="170">
        <v>7500</v>
      </c>
    </row>
    <row r="40" spans="1:4" x14ac:dyDescent="0.25">
      <c r="A40" s="188" t="s">
        <v>70</v>
      </c>
      <c r="B40" s="170">
        <v>3095</v>
      </c>
      <c r="C40" s="170">
        <v>11038</v>
      </c>
      <c r="D40" s="170">
        <v>6650</v>
      </c>
    </row>
    <row r="41" spans="1:4" x14ac:dyDescent="0.25">
      <c r="A41" s="188"/>
      <c r="B41" s="170"/>
      <c r="C41" s="170"/>
      <c r="D41" s="170"/>
    </row>
    <row r="42" spans="1:4" x14ac:dyDescent="0.25">
      <c r="A42" s="138" t="s">
        <v>35</v>
      </c>
      <c r="B42" s="175">
        <f>SUM(B37:B41)</f>
        <v>356397</v>
      </c>
      <c r="C42" s="175">
        <f>SUM(C37:C41)</f>
        <v>429087</v>
      </c>
      <c r="D42" s="175">
        <f>SUM(D37:D41)</f>
        <v>459316</v>
      </c>
    </row>
    <row r="43" spans="1:4" x14ac:dyDescent="0.25">
      <c r="A43" s="189" t="s">
        <v>1019</v>
      </c>
      <c r="B43" s="47"/>
      <c r="C43" s="47"/>
      <c r="D43" s="47"/>
    </row>
    <row r="44" spans="1:4" x14ac:dyDescent="0.25">
      <c r="A44" s="188" t="s">
        <v>75</v>
      </c>
      <c r="B44" s="170">
        <v>209636</v>
      </c>
      <c r="C44" s="170">
        <v>223933</v>
      </c>
      <c r="D44" s="170">
        <v>238536</v>
      </c>
    </row>
    <row r="45" spans="1:4" x14ac:dyDescent="0.25">
      <c r="A45" s="188" t="s">
        <v>68</v>
      </c>
      <c r="B45" s="170">
        <v>70811</v>
      </c>
      <c r="C45" s="170">
        <v>80863</v>
      </c>
      <c r="D45" s="170">
        <v>106200</v>
      </c>
    </row>
    <row r="46" spans="1:4" x14ac:dyDescent="0.25">
      <c r="A46" s="188" t="s">
        <v>69</v>
      </c>
      <c r="B46" s="170">
        <v>27246</v>
      </c>
      <c r="C46" s="170">
        <v>27000</v>
      </c>
      <c r="D46" s="170">
        <v>30800</v>
      </c>
    </row>
    <row r="47" spans="1:4" x14ac:dyDescent="0.25">
      <c r="A47" s="188" t="s">
        <v>70</v>
      </c>
      <c r="B47" s="170">
        <v>5601</v>
      </c>
      <c r="C47" s="170">
        <v>11000</v>
      </c>
      <c r="D47" s="170">
        <v>19500</v>
      </c>
    </row>
    <row r="48" spans="1:4" x14ac:dyDescent="0.25">
      <c r="A48" s="188"/>
      <c r="B48" s="170"/>
      <c r="C48" s="170"/>
      <c r="D48" s="170"/>
    </row>
    <row r="49" spans="1:4" x14ac:dyDescent="0.25">
      <c r="A49" s="138" t="s">
        <v>35</v>
      </c>
      <c r="B49" s="175">
        <f>SUM(B44:B48)</f>
        <v>313294</v>
      </c>
      <c r="C49" s="175">
        <f>SUM(C44:C48)</f>
        <v>342796</v>
      </c>
      <c r="D49" s="175">
        <f>SUM(D44:D48)</f>
        <v>395036</v>
      </c>
    </row>
    <row r="50" spans="1:4" x14ac:dyDescent="0.25">
      <c r="A50" s="189" t="s">
        <v>1053</v>
      </c>
      <c r="B50" s="47"/>
      <c r="C50" s="47"/>
      <c r="D50" s="47"/>
    </row>
    <row r="51" spans="1:4" x14ac:dyDescent="0.25">
      <c r="A51" s="188" t="s">
        <v>75</v>
      </c>
      <c r="B51" s="170">
        <v>117517</v>
      </c>
      <c r="C51" s="170">
        <v>131624</v>
      </c>
      <c r="D51" s="170">
        <v>169817</v>
      </c>
    </row>
    <row r="52" spans="1:4" x14ac:dyDescent="0.25">
      <c r="A52" s="188" t="s">
        <v>68</v>
      </c>
      <c r="B52" s="170">
        <v>50920</v>
      </c>
      <c r="C52" s="170">
        <v>41350</v>
      </c>
      <c r="D52" s="170">
        <v>58350</v>
      </c>
    </row>
    <row r="53" spans="1:4" x14ac:dyDescent="0.25">
      <c r="A53" s="188" t="s">
        <v>69</v>
      </c>
      <c r="B53" s="170">
        <v>15590</v>
      </c>
      <c r="C53" s="170">
        <v>18694</v>
      </c>
      <c r="D53" s="170">
        <v>21050</v>
      </c>
    </row>
    <row r="54" spans="1:4" x14ac:dyDescent="0.25">
      <c r="A54" s="188" t="s">
        <v>70</v>
      </c>
      <c r="B54" s="170">
        <v>515</v>
      </c>
      <c r="C54" s="170">
        <v>4000</v>
      </c>
      <c r="D54" s="170">
        <v>5000</v>
      </c>
    </row>
    <row r="55" spans="1:4" x14ac:dyDescent="0.25">
      <c r="A55" s="188"/>
      <c r="B55" s="170"/>
      <c r="C55" s="170"/>
      <c r="D55" s="170"/>
    </row>
    <row r="56" spans="1:4" x14ac:dyDescent="0.25">
      <c r="A56" s="138" t="s">
        <v>35</v>
      </c>
      <c r="B56" s="175">
        <f>SUM(B51:B55)</f>
        <v>184542</v>
      </c>
      <c r="C56" s="175">
        <f>SUM(C51:C55)</f>
        <v>195668</v>
      </c>
      <c r="D56" s="175">
        <f>SUM(D51:D55)</f>
        <v>254217</v>
      </c>
    </row>
    <row r="57" spans="1:4" x14ac:dyDescent="0.25">
      <c r="A57" s="189" t="s">
        <v>1054</v>
      </c>
      <c r="B57" s="47"/>
      <c r="C57" s="47"/>
      <c r="D57" s="47"/>
    </row>
    <row r="58" spans="1:4" x14ac:dyDescent="0.25">
      <c r="A58" s="188" t="s">
        <v>75</v>
      </c>
      <c r="B58" s="170">
        <v>168875</v>
      </c>
      <c r="C58" s="170">
        <v>169986</v>
      </c>
      <c r="D58" s="170">
        <v>174962</v>
      </c>
    </row>
    <row r="59" spans="1:4" x14ac:dyDescent="0.25">
      <c r="A59" s="188" t="s">
        <v>68</v>
      </c>
      <c r="B59" s="170">
        <v>30281</v>
      </c>
      <c r="C59" s="170">
        <v>36245</v>
      </c>
      <c r="D59" s="170">
        <v>41050</v>
      </c>
    </row>
    <row r="60" spans="1:4" x14ac:dyDescent="0.25">
      <c r="A60" s="188" t="s">
        <v>69</v>
      </c>
      <c r="B60" s="170">
        <v>61448</v>
      </c>
      <c r="C60" s="170">
        <v>62700</v>
      </c>
      <c r="D60" s="170">
        <v>67300</v>
      </c>
    </row>
    <row r="61" spans="1:4" x14ac:dyDescent="0.25">
      <c r="A61" s="188" t="s">
        <v>70</v>
      </c>
      <c r="B61" s="170">
        <v>1314</v>
      </c>
      <c r="C61" s="170">
        <v>2200</v>
      </c>
      <c r="D61" s="170">
        <v>2200</v>
      </c>
    </row>
    <row r="62" spans="1:4" x14ac:dyDescent="0.25">
      <c r="A62" s="188"/>
      <c r="B62" s="170"/>
      <c r="C62" s="170"/>
      <c r="D62" s="170"/>
    </row>
    <row r="63" spans="1:4" x14ac:dyDescent="0.25">
      <c r="A63" s="138" t="s">
        <v>35</v>
      </c>
      <c r="B63" s="175">
        <f>SUM(B58:B62)</f>
        <v>261918</v>
      </c>
      <c r="C63" s="175">
        <f>SUM(C58:C62)</f>
        <v>271131</v>
      </c>
      <c r="D63" s="175">
        <f>SUM(D58:D62)</f>
        <v>285512</v>
      </c>
    </row>
    <row r="64" spans="1:4" x14ac:dyDescent="0.25">
      <c r="A64" s="28"/>
      <c r="B64" s="47"/>
      <c r="C64" s="47"/>
      <c r="D64" s="47"/>
    </row>
    <row r="65" spans="1:4" ht="16" thickBot="1" x14ac:dyDescent="0.3">
      <c r="A65" s="138" t="s">
        <v>263</v>
      </c>
      <c r="B65" s="190">
        <f>B15+B22+B29+B35+B42+B49+B56+B63</f>
        <v>3654709</v>
      </c>
      <c r="C65" s="190">
        <f>C15+C22+C29+C35+C42+C49+C56+C63</f>
        <v>3789050</v>
      </c>
      <c r="D65" s="190">
        <f>D15+D22+D29+D35+D42+D49+D56+D63</f>
        <v>4201722</v>
      </c>
    </row>
    <row r="66" spans="1:4" ht="16" thickTop="1" x14ac:dyDescent="0.25">
      <c r="A66" s="78"/>
      <c r="B66" s="47"/>
      <c r="C66" s="47"/>
      <c r="D66" s="47"/>
    </row>
    <row r="67" spans="1:4" x14ac:dyDescent="0.25">
      <c r="A67" s="274" t="s">
        <v>74</v>
      </c>
      <c r="B67" s="47" t="str">
        <f>CONCATENATE("",General7a!C55,"b")</f>
        <v>7b</v>
      </c>
      <c r="C67" s="47"/>
      <c r="D67" s="47"/>
    </row>
    <row r="68" spans="1:4" x14ac:dyDescent="0.25">
      <c r="A68" s="28"/>
      <c r="B68" s="47"/>
      <c r="C68" s="47"/>
      <c r="D68" s="47"/>
    </row>
    <row r="69" spans="1:4" x14ac:dyDescent="0.25">
      <c r="A69" s="47" t="str">
        <f>A1</f>
        <v>The City of Colby</v>
      </c>
      <c r="B69" s="28"/>
      <c r="C69" s="108"/>
      <c r="D69" s="28">
        <f>D1</f>
        <v>2026</v>
      </c>
    </row>
    <row r="70" spans="1:4" x14ac:dyDescent="0.25">
      <c r="A70" s="28"/>
      <c r="B70" s="28"/>
      <c r="C70" s="28"/>
      <c r="D70" s="108"/>
    </row>
    <row r="71" spans="1:4" x14ac:dyDescent="0.25">
      <c r="A71" s="160"/>
      <c r="B71" s="134"/>
      <c r="C71" s="134"/>
      <c r="D71" s="134"/>
    </row>
    <row r="72" spans="1:4" x14ac:dyDescent="0.25">
      <c r="A72" s="445" t="s">
        <v>57</v>
      </c>
      <c r="B72" s="361" t="str">
        <f t="shared" ref="B72:D73" si="0">B4</f>
        <v xml:space="preserve">Prior Year </v>
      </c>
      <c r="C72" s="446" t="str">
        <f t="shared" si="0"/>
        <v xml:space="preserve">Current Year </v>
      </c>
      <c r="D72" s="360" t="str">
        <f t="shared" si="0"/>
        <v xml:space="preserve">Proposed Budget </v>
      </c>
    </row>
    <row r="73" spans="1:4" x14ac:dyDescent="0.25">
      <c r="A73" s="362" t="s">
        <v>268</v>
      </c>
      <c r="B73" s="92" t="str">
        <f t="shared" si="0"/>
        <v>Actual for 2024</v>
      </c>
      <c r="C73" s="92" t="str">
        <f t="shared" si="0"/>
        <v>Estimate for 2025</v>
      </c>
      <c r="D73" s="92" t="str">
        <f t="shared" si="0"/>
        <v>Year for 2026</v>
      </c>
    </row>
    <row r="74" spans="1:4" x14ac:dyDescent="0.25">
      <c r="A74" s="138" t="s">
        <v>67</v>
      </c>
      <c r="B74" s="52"/>
      <c r="C74" s="52"/>
      <c r="D74" s="52"/>
    </row>
    <row r="75" spans="1:4" x14ac:dyDescent="0.25">
      <c r="A75" s="187" t="s">
        <v>1055</v>
      </c>
      <c r="B75" s="52"/>
      <c r="C75" s="52"/>
      <c r="D75" s="52"/>
    </row>
    <row r="76" spans="1:4" x14ac:dyDescent="0.25">
      <c r="A76" s="188" t="s">
        <v>75</v>
      </c>
      <c r="B76" s="170">
        <v>60500</v>
      </c>
      <c r="C76" s="170">
        <v>72000</v>
      </c>
      <c r="D76" s="170">
        <v>75200</v>
      </c>
    </row>
    <row r="77" spans="1:4" x14ac:dyDescent="0.25">
      <c r="A77" s="188" t="s">
        <v>68</v>
      </c>
      <c r="B77" s="170">
        <v>74362</v>
      </c>
      <c r="C77" s="170">
        <v>151898</v>
      </c>
      <c r="D77" s="170">
        <v>76446</v>
      </c>
    </row>
    <row r="78" spans="1:4" x14ac:dyDescent="0.25">
      <c r="A78" s="188" t="s">
        <v>69</v>
      </c>
      <c r="B78" s="170">
        <v>121304</v>
      </c>
      <c r="C78" s="170">
        <v>211995</v>
      </c>
      <c r="D78" s="170">
        <v>230750</v>
      </c>
    </row>
    <row r="79" spans="1:4" x14ac:dyDescent="0.25">
      <c r="A79" s="188" t="s">
        <v>70</v>
      </c>
      <c r="B79" s="170">
        <v>970</v>
      </c>
      <c r="C79" s="170">
        <v>1500</v>
      </c>
      <c r="D79" s="170">
        <v>1500</v>
      </c>
    </row>
    <row r="80" spans="1:4" x14ac:dyDescent="0.25">
      <c r="A80" s="41"/>
      <c r="B80" s="170"/>
      <c r="C80" s="170"/>
      <c r="D80" s="170"/>
    </row>
    <row r="81" spans="1:4" x14ac:dyDescent="0.25">
      <c r="A81" s="138" t="s">
        <v>35</v>
      </c>
      <c r="B81" s="175">
        <f>SUM(B76:B80)</f>
        <v>257136</v>
      </c>
      <c r="C81" s="175">
        <f>SUM(C76:C80)</f>
        <v>437393</v>
      </c>
      <c r="D81" s="175">
        <f>SUM(D76:D80)</f>
        <v>383896</v>
      </c>
    </row>
    <row r="82" spans="1:4" x14ac:dyDescent="0.25">
      <c r="A82" s="189"/>
      <c r="B82" s="47"/>
      <c r="C82" s="47"/>
      <c r="D82" s="47"/>
    </row>
    <row r="83" spans="1:4" x14ac:dyDescent="0.25">
      <c r="A83" s="188" t="s">
        <v>75</v>
      </c>
      <c r="B83" s="170"/>
      <c r="C83" s="170"/>
      <c r="D83" s="170"/>
    </row>
    <row r="84" spans="1:4" x14ac:dyDescent="0.25">
      <c r="A84" s="188" t="s">
        <v>68</v>
      </c>
      <c r="B84" s="170"/>
      <c r="C84" s="170"/>
      <c r="D84" s="170"/>
    </row>
    <row r="85" spans="1:4" x14ac:dyDescent="0.25">
      <c r="A85" s="188" t="s">
        <v>69</v>
      </c>
      <c r="B85" s="170"/>
      <c r="C85" s="170"/>
      <c r="D85" s="170"/>
    </row>
    <row r="86" spans="1:4" x14ac:dyDescent="0.25">
      <c r="A86" s="188" t="s">
        <v>70</v>
      </c>
      <c r="B86" s="170"/>
      <c r="C86" s="170"/>
      <c r="D86" s="170"/>
    </row>
    <row r="87" spans="1:4" x14ac:dyDescent="0.25">
      <c r="A87" s="188"/>
      <c r="B87" s="170"/>
      <c r="C87" s="170"/>
      <c r="D87" s="170"/>
    </row>
    <row r="88" spans="1:4" x14ac:dyDescent="0.25">
      <c r="A88" s="138" t="s">
        <v>35</v>
      </c>
      <c r="B88" s="175">
        <f>SUM(B83:B87)</f>
        <v>0</v>
      </c>
      <c r="C88" s="175">
        <f>SUM(C83:C87)</f>
        <v>0</v>
      </c>
      <c r="D88" s="175">
        <f>SUM(D83:D87)</f>
        <v>0</v>
      </c>
    </row>
    <row r="89" spans="1:4" x14ac:dyDescent="0.25">
      <c r="A89" s="189"/>
      <c r="B89" s="47"/>
      <c r="C89" s="47"/>
      <c r="D89" s="47"/>
    </row>
    <row r="90" spans="1:4" x14ac:dyDescent="0.25">
      <c r="A90" s="188" t="s">
        <v>75</v>
      </c>
      <c r="B90" s="170"/>
      <c r="C90" s="170"/>
      <c r="D90" s="170"/>
    </row>
    <row r="91" spans="1:4" x14ac:dyDescent="0.25">
      <c r="A91" s="188" t="s">
        <v>68</v>
      </c>
      <c r="B91" s="170"/>
      <c r="C91" s="170"/>
      <c r="D91" s="170"/>
    </row>
    <row r="92" spans="1:4" x14ac:dyDescent="0.25">
      <c r="A92" s="188" t="s">
        <v>69</v>
      </c>
      <c r="B92" s="170"/>
      <c r="C92" s="170"/>
      <c r="D92" s="170"/>
    </row>
    <row r="93" spans="1:4" x14ac:dyDescent="0.25">
      <c r="A93" s="188" t="s">
        <v>70</v>
      </c>
      <c r="B93" s="170"/>
      <c r="C93" s="170"/>
      <c r="D93" s="170"/>
    </row>
    <row r="94" spans="1:4" x14ac:dyDescent="0.25">
      <c r="A94" s="188"/>
      <c r="B94" s="170"/>
      <c r="C94" s="170"/>
      <c r="D94" s="170"/>
    </row>
    <row r="95" spans="1:4" x14ac:dyDescent="0.25">
      <c r="A95" s="138" t="s">
        <v>35</v>
      </c>
      <c r="B95" s="175">
        <f>SUM(B90:B94)</f>
        <v>0</v>
      </c>
      <c r="C95" s="175">
        <f>SUM(C90:C94)</f>
        <v>0</v>
      </c>
      <c r="D95" s="175">
        <f>SUM(D90:D94)</f>
        <v>0</v>
      </c>
    </row>
    <row r="96" spans="1:4" x14ac:dyDescent="0.25">
      <c r="A96" s="189"/>
      <c r="B96" s="47"/>
      <c r="C96" s="47"/>
      <c r="D96" s="47"/>
    </row>
    <row r="97" spans="1:4" x14ac:dyDescent="0.25">
      <c r="A97" s="188" t="s">
        <v>75</v>
      </c>
      <c r="B97" s="170"/>
      <c r="C97" s="170"/>
      <c r="D97" s="170"/>
    </row>
    <row r="98" spans="1:4" x14ac:dyDescent="0.25">
      <c r="A98" s="188" t="s">
        <v>68</v>
      </c>
      <c r="B98" s="170"/>
      <c r="C98" s="170"/>
      <c r="D98" s="170"/>
    </row>
    <row r="99" spans="1:4" x14ac:dyDescent="0.25">
      <c r="A99" s="188" t="s">
        <v>69</v>
      </c>
      <c r="B99" s="170"/>
      <c r="C99" s="170"/>
      <c r="D99" s="170"/>
    </row>
    <row r="100" spans="1:4" x14ac:dyDescent="0.25">
      <c r="A100" s="188" t="s">
        <v>70</v>
      </c>
      <c r="B100" s="170"/>
      <c r="C100" s="170"/>
      <c r="D100" s="170"/>
    </row>
    <row r="101" spans="1:4" x14ac:dyDescent="0.25">
      <c r="A101" s="138" t="s">
        <v>35</v>
      </c>
      <c r="B101" s="175">
        <f>SUM(B97:B100)</f>
        <v>0</v>
      </c>
      <c r="C101" s="175">
        <f>SUM(C97:C100)</f>
        <v>0</v>
      </c>
      <c r="D101" s="175">
        <f>SUM(D97:D100)</f>
        <v>0</v>
      </c>
    </row>
    <row r="102" spans="1:4" x14ac:dyDescent="0.25">
      <c r="A102" s="189"/>
      <c r="B102" s="47"/>
      <c r="C102" s="47"/>
      <c r="D102" s="47"/>
    </row>
    <row r="103" spans="1:4" x14ac:dyDescent="0.25">
      <c r="A103" s="188" t="s">
        <v>75</v>
      </c>
      <c r="B103" s="170"/>
      <c r="C103" s="170"/>
      <c r="D103" s="170"/>
    </row>
    <row r="104" spans="1:4" x14ac:dyDescent="0.25">
      <c r="A104" s="188" t="s">
        <v>68</v>
      </c>
      <c r="B104" s="170"/>
      <c r="C104" s="170"/>
      <c r="D104" s="170"/>
    </row>
    <row r="105" spans="1:4" x14ac:dyDescent="0.25">
      <c r="A105" s="188" t="s">
        <v>69</v>
      </c>
      <c r="B105" s="170"/>
      <c r="C105" s="170"/>
      <c r="D105" s="170"/>
    </row>
    <row r="106" spans="1:4" x14ac:dyDescent="0.25">
      <c r="A106" s="188" t="s">
        <v>70</v>
      </c>
      <c r="B106" s="170"/>
      <c r="C106" s="170"/>
      <c r="D106" s="170"/>
    </row>
    <row r="107" spans="1:4" x14ac:dyDescent="0.25">
      <c r="A107" s="188"/>
      <c r="B107" s="170"/>
      <c r="C107" s="170"/>
      <c r="D107" s="170"/>
    </row>
    <row r="108" spans="1:4" x14ac:dyDescent="0.25">
      <c r="A108" s="138" t="s">
        <v>35</v>
      </c>
      <c r="B108" s="175">
        <f>SUM(B103:B107)</f>
        <v>0</v>
      </c>
      <c r="C108" s="175">
        <f>SUM(C103:C107)</f>
        <v>0</v>
      </c>
      <c r="D108" s="175">
        <f>SUM(D103:D107)</f>
        <v>0</v>
      </c>
    </row>
    <row r="109" spans="1:4" x14ac:dyDescent="0.25">
      <c r="A109" s="189"/>
      <c r="B109" s="47"/>
      <c r="C109" s="47"/>
      <c r="D109" s="47"/>
    </row>
    <row r="110" spans="1:4" x14ac:dyDescent="0.25">
      <c r="A110" s="188" t="s">
        <v>75</v>
      </c>
      <c r="B110" s="170"/>
      <c r="C110" s="170"/>
      <c r="D110" s="170"/>
    </row>
    <row r="111" spans="1:4" x14ac:dyDescent="0.25">
      <c r="A111" s="188" t="s">
        <v>68</v>
      </c>
      <c r="B111" s="170"/>
      <c r="C111" s="170"/>
      <c r="D111" s="170"/>
    </row>
    <row r="112" spans="1:4" x14ac:dyDescent="0.25">
      <c r="A112" s="188" t="s">
        <v>69</v>
      </c>
      <c r="B112" s="170"/>
      <c r="C112" s="170"/>
      <c r="D112" s="170"/>
    </row>
    <row r="113" spans="1:4" x14ac:dyDescent="0.25">
      <c r="A113" s="188" t="s">
        <v>70</v>
      </c>
      <c r="B113" s="170"/>
      <c r="C113" s="170"/>
      <c r="D113" s="170"/>
    </row>
    <row r="114" spans="1:4" x14ac:dyDescent="0.25">
      <c r="A114" s="188"/>
      <c r="B114" s="170"/>
      <c r="C114" s="170"/>
      <c r="D114" s="170"/>
    </row>
    <row r="115" spans="1:4" x14ac:dyDescent="0.25">
      <c r="A115" s="138" t="s">
        <v>35</v>
      </c>
      <c r="B115" s="175">
        <f>SUM(B110:B114)</f>
        <v>0</v>
      </c>
      <c r="C115" s="175">
        <f>SUM(C110:C114)</f>
        <v>0</v>
      </c>
      <c r="D115" s="175">
        <f>SUM(D110:D114)</f>
        <v>0</v>
      </c>
    </row>
    <row r="116" spans="1:4" x14ac:dyDescent="0.25">
      <c r="A116" s="189"/>
      <c r="B116" s="47"/>
      <c r="C116" s="47"/>
      <c r="D116" s="47"/>
    </row>
    <row r="117" spans="1:4" x14ac:dyDescent="0.25">
      <c r="A117" s="188" t="s">
        <v>75</v>
      </c>
      <c r="B117" s="170"/>
      <c r="C117" s="170"/>
      <c r="D117" s="170"/>
    </row>
    <row r="118" spans="1:4" x14ac:dyDescent="0.25">
      <c r="A118" s="188" t="s">
        <v>68</v>
      </c>
      <c r="B118" s="170"/>
      <c r="C118" s="170"/>
      <c r="D118" s="170"/>
    </row>
    <row r="119" spans="1:4" x14ac:dyDescent="0.25">
      <c r="A119" s="188" t="s">
        <v>69</v>
      </c>
      <c r="B119" s="170"/>
      <c r="C119" s="170"/>
      <c r="D119" s="170"/>
    </row>
    <row r="120" spans="1:4" x14ac:dyDescent="0.25">
      <c r="A120" s="188" t="s">
        <v>70</v>
      </c>
      <c r="B120" s="170"/>
      <c r="C120" s="170"/>
      <c r="D120" s="170"/>
    </row>
    <row r="121" spans="1:4" x14ac:dyDescent="0.25">
      <c r="A121" s="188"/>
      <c r="B121" s="170"/>
      <c r="C121" s="170"/>
      <c r="D121" s="170"/>
    </row>
    <row r="122" spans="1:4" x14ac:dyDescent="0.25">
      <c r="A122" s="138" t="s">
        <v>35</v>
      </c>
      <c r="B122" s="175">
        <f>SUM(B117:B121)</f>
        <v>0</v>
      </c>
      <c r="C122" s="175">
        <f>SUM(C117:C121)</f>
        <v>0</v>
      </c>
      <c r="D122" s="175">
        <f>SUM(D117:D121)</f>
        <v>0</v>
      </c>
    </row>
    <row r="123" spans="1:4" x14ac:dyDescent="0.25">
      <c r="A123" s="189"/>
      <c r="B123" s="47"/>
      <c r="C123" s="47"/>
      <c r="D123" s="47"/>
    </row>
    <row r="124" spans="1:4" x14ac:dyDescent="0.25">
      <c r="A124" s="188" t="s">
        <v>75</v>
      </c>
      <c r="B124" s="170"/>
      <c r="C124" s="170"/>
      <c r="D124" s="170"/>
    </row>
    <row r="125" spans="1:4" x14ac:dyDescent="0.25">
      <c r="A125" s="188" t="s">
        <v>68</v>
      </c>
      <c r="B125" s="170"/>
      <c r="C125" s="170"/>
      <c r="D125" s="170"/>
    </row>
    <row r="126" spans="1:4" x14ac:dyDescent="0.25">
      <c r="A126" s="188" t="s">
        <v>69</v>
      </c>
      <c r="B126" s="170"/>
      <c r="C126" s="170"/>
      <c r="D126" s="170"/>
    </row>
    <row r="127" spans="1:4" x14ac:dyDescent="0.25">
      <c r="A127" s="188" t="s">
        <v>70</v>
      </c>
      <c r="B127" s="170"/>
      <c r="C127" s="170"/>
      <c r="D127" s="170"/>
    </row>
    <row r="128" spans="1:4" x14ac:dyDescent="0.25">
      <c r="A128" s="188"/>
      <c r="B128" s="170"/>
      <c r="C128" s="170"/>
      <c r="D128" s="170"/>
    </row>
    <row r="129" spans="1:4" x14ac:dyDescent="0.25">
      <c r="A129" s="138" t="s">
        <v>35</v>
      </c>
      <c r="B129" s="175">
        <f>SUM(B124:B128)</f>
        <v>0</v>
      </c>
      <c r="C129" s="175">
        <f>SUM(C124:C128)</f>
        <v>0</v>
      </c>
      <c r="D129" s="244">
        <f>SUM(D124:D128)</f>
        <v>0</v>
      </c>
    </row>
    <row r="130" spans="1:4" x14ac:dyDescent="0.25">
      <c r="A130" s="138"/>
      <c r="B130" s="47"/>
      <c r="C130" s="47"/>
      <c r="D130" s="47"/>
    </row>
    <row r="131" spans="1:4" x14ac:dyDescent="0.25">
      <c r="A131" s="38" t="s">
        <v>265</v>
      </c>
      <c r="B131" s="245">
        <f>B81+B88+B95+B101+B108+B115+B122+B129</f>
        <v>257136</v>
      </c>
      <c r="C131" s="245">
        <f>C81+C88+C95+C101+C108+C115+C122+C129</f>
        <v>437393</v>
      </c>
      <c r="D131" s="245">
        <f>D81+D88+D95+D101+D108+D115+D122+D129</f>
        <v>383896</v>
      </c>
    </row>
    <row r="132" spans="1:4" x14ac:dyDescent="0.25">
      <c r="A132" s="138" t="s">
        <v>264</v>
      </c>
      <c r="B132" s="175">
        <f>B65</f>
        <v>3654709</v>
      </c>
      <c r="C132" s="175">
        <f>C65</f>
        <v>3789050</v>
      </c>
      <c r="D132" s="175">
        <f>D65</f>
        <v>4201722</v>
      </c>
    </row>
    <row r="133" spans="1:4" ht="16" thickBot="1" x14ac:dyDescent="0.3">
      <c r="A133" s="138" t="s">
        <v>266</v>
      </c>
      <c r="B133" s="190">
        <f>SUM(B131:B132)</f>
        <v>3911845</v>
      </c>
      <c r="C133" s="190">
        <f>SUM(C131:C132)</f>
        <v>4226443</v>
      </c>
      <c r="D133" s="190">
        <f>SUM(D131:D132)</f>
        <v>4585618</v>
      </c>
    </row>
    <row r="134" spans="1:4" ht="16" thickTop="1" x14ac:dyDescent="0.25">
      <c r="A134" s="78" t="s">
        <v>17</v>
      </c>
      <c r="B134" s="47"/>
      <c r="C134" s="47"/>
      <c r="D134" s="47"/>
    </row>
    <row r="135" spans="1:4" x14ac:dyDescent="0.25">
      <c r="A135" s="274" t="s">
        <v>74</v>
      </c>
      <c r="B135" s="47" t="str">
        <f>CONCATENATE("",General7a!C55,"c")</f>
        <v>7c</v>
      </c>
      <c r="C135" s="47"/>
      <c r="D135" s="47"/>
    </row>
  </sheetData>
  <sheetProtection sheet="1"/>
  <phoneticPr fontId="0" type="noConversion"/>
  <pageMargins left="0.5" right="0.5" top="1" bottom="0.5" header="0.5" footer="0.5"/>
  <pageSetup scale="64" fitToHeight="2" orientation="portrait" blackAndWhite="1" r:id="rId1"/>
  <headerFooter alignWithMargins="0">
    <oddHeader>&amp;RState of Kansas
City</oddHeader>
  </headerFooter>
  <rowBreaks count="3" manualBreakCount="3">
    <brk id="67" max="16383" man="1"/>
    <brk id="69" max="16383" man="1"/>
    <brk id="135" max="16383" man="1"/>
  </rowBreaks>
  <colBreaks count="3" manualBreakCount="3">
    <brk id="1" max="1048575" man="1"/>
    <brk id="2" max="1048575" man="1"/>
    <brk id="3"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DD571"/>
    <pageSetUpPr fitToPage="1"/>
  </sheetPr>
  <dimension ref="B1:K102"/>
  <sheetViews>
    <sheetView topLeftCell="A3" zoomScaleNormal="100" workbookViewId="0">
      <selection activeCell="C10" sqref="C10"/>
    </sheetView>
  </sheetViews>
  <sheetFormatPr defaultColWidth="8.9140625" defaultRowHeight="15.5" x14ac:dyDescent="0.25"/>
  <cols>
    <col min="1" max="1" width="2.4140625" style="26" customWidth="1"/>
    <col min="2" max="2" width="31.08203125" style="26" customWidth="1"/>
    <col min="3" max="4" width="15.75" style="26" customWidth="1"/>
    <col min="5" max="5" width="16.25" style="26" customWidth="1"/>
    <col min="6" max="6" width="7.08203125" style="26" customWidth="1"/>
    <col min="7" max="7" width="10.25" style="26" customWidth="1"/>
    <col min="8" max="8" width="8.9140625" style="26"/>
    <col min="9" max="9" width="5.58203125" style="26" customWidth="1"/>
    <col min="10" max="10" width="10" style="26" customWidth="1"/>
    <col min="11" max="16384" width="8.9140625" style="26"/>
  </cols>
  <sheetData>
    <row r="1" spans="2:10" x14ac:dyDescent="0.25">
      <c r="B1" s="272" t="str">
        <f>inputPrYr!D3</f>
        <v>The City of Colby</v>
      </c>
      <c r="C1" s="272"/>
      <c r="D1" s="259"/>
      <c r="E1" s="266">
        <f>inputPrYr!C6</f>
        <v>2026</v>
      </c>
    </row>
    <row r="2" spans="2:10" x14ac:dyDescent="0.25">
      <c r="B2" s="259"/>
      <c r="C2" s="259"/>
      <c r="D2" s="259"/>
      <c r="E2" s="274"/>
    </row>
    <row r="3" spans="2:10" x14ac:dyDescent="0.25">
      <c r="B3" s="262" t="s">
        <v>119</v>
      </c>
      <c r="C3" s="262"/>
      <c r="D3" s="275"/>
      <c r="E3" s="267"/>
    </row>
    <row r="4" spans="2:10" x14ac:dyDescent="0.25">
      <c r="B4" s="261" t="s">
        <v>57</v>
      </c>
      <c r="C4" s="443" t="s">
        <v>475</v>
      </c>
      <c r="D4" s="444" t="s">
        <v>476</v>
      </c>
      <c r="E4" s="87" t="s">
        <v>477</v>
      </c>
    </row>
    <row r="5" spans="2:10" x14ac:dyDescent="0.25">
      <c r="B5" s="290" t="s">
        <v>16</v>
      </c>
      <c r="C5" s="137" t="str">
        <f>CONCATENATE("Actual for ",E1-2,"")</f>
        <v>Actual for 2024</v>
      </c>
      <c r="D5" s="137" t="str">
        <f>CONCATENATE("Estimate for ",E1-1,"")</f>
        <v>Estimate for 2025</v>
      </c>
      <c r="E5" s="122" t="str">
        <f>CONCATENATE("Year for ",E1,"")</f>
        <v>Year for 2026</v>
      </c>
    </row>
    <row r="6" spans="2:10" x14ac:dyDescent="0.25">
      <c r="B6" s="268" t="s">
        <v>133</v>
      </c>
      <c r="C6" s="287">
        <v>97690</v>
      </c>
      <c r="D6" s="286">
        <f>C35</f>
        <v>97713</v>
      </c>
      <c r="E6" s="269">
        <f>D35</f>
        <v>97712</v>
      </c>
    </row>
    <row r="7" spans="2:10" x14ac:dyDescent="0.25">
      <c r="B7" s="268" t="s">
        <v>135</v>
      </c>
      <c r="C7" s="270"/>
      <c r="D7" s="286"/>
      <c r="E7" s="269"/>
    </row>
    <row r="8" spans="2:10" x14ac:dyDescent="0.25">
      <c r="B8" s="268" t="s">
        <v>58</v>
      </c>
      <c r="C8" s="285"/>
      <c r="D8" s="286">
        <f>IF(inputPrYr!H21,inputPrYr!G23,inputPrYr!E19)</f>
        <v>0</v>
      </c>
      <c r="E8" s="282" t="s">
        <v>49</v>
      </c>
    </row>
    <row r="9" spans="2:10" x14ac:dyDescent="0.25">
      <c r="B9" s="268" t="s">
        <v>59</v>
      </c>
      <c r="C9" s="285">
        <v>24</v>
      </c>
      <c r="D9" s="288">
        <v>0</v>
      </c>
      <c r="E9" s="263">
        <v>0</v>
      </c>
      <c r="G9" s="770" t="str">
        <f>CONCATENATE("Desired Carryover Into ",E1+1,"")</f>
        <v>Desired Carryover Into 2027</v>
      </c>
      <c r="H9" s="754"/>
      <c r="I9" s="754"/>
      <c r="J9" s="755"/>
    </row>
    <row r="10" spans="2:10" x14ac:dyDescent="0.25">
      <c r="B10" s="268" t="s">
        <v>60</v>
      </c>
      <c r="C10" s="285"/>
      <c r="D10" s="288"/>
      <c r="E10" s="269" t="str">
        <f>Mvalloc!D8</f>
        <v xml:space="preserve">  </v>
      </c>
      <c r="G10" s="384"/>
      <c r="H10" s="385"/>
      <c r="I10" s="386"/>
      <c r="J10" s="387"/>
    </row>
    <row r="11" spans="2:10" x14ac:dyDescent="0.25">
      <c r="B11" s="268" t="s">
        <v>61</v>
      </c>
      <c r="C11" s="285"/>
      <c r="D11" s="288"/>
      <c r="E11" s="269" t="str">
        <f>Mvalloc!E8</f>
        <v xml:space="preserve"> </v>
      </c>
      <c r="G11" s="388" t="s">
        <v>347</v>
      </c>
      <c r="H11" s="386"/>
      <c r="I11" s="386"/>
      <c r="J11" s="389">
        <v>0</v>
      </c>
    </row>
    <row r="12" spans="2:10" x14ac:dyDescent="0.25">
      <c r="B12" s="271" t="s">
        <v>126</v>
      </c>
      <c r="C12" s="285"/>
      <c r="D12" s="288"/>
      <c r="E12" s="269" t="str">
        <f>Mvalloc!F8</f>
        <v xml:space="preserve"> </v>
      </c>
      <c r="G12" s="384" t="s">
        <v>348</v>
      </c>
      <c r="H12" s="385"/>
      <c r="I12" s="385"/>
      <c r="J12" s="390" t="str">
        <f>IF(J11=0,"",ROUND((J11+E41-G25)/inputOth!E7*1000,3)-G30)</f>
        <v/>
      </c>
    </row>
    <row r="13" spans="2:10" x14ac:dyDescent="0.25">
      <c r="B13" s="509" t="s">
        <v>524</v>
      </c>
      <c r="C13" s="285"/>
      <c r="D13" s="288"/>
      <c r="E13" s="269" t="str">
        <f>Mvalloc!G8</f>
        <v xml:space="preserve"> </v>
      </c>
      <c r="G13" s="391" t="str">
        <f>CONCATENATE("",E1," Tot Exp/Non-Appr Must Be:")</f>
        <v>2026 Tot Exp/Non-Appr Must Be:</v>
      </c>
      <c r="H13" s="392"/>
      <c r="I13" s="393"/>
      <c r="J13" s="394">
        <f>IF(J11&gt;0,IF(E38&lt;E23,IF(J11=G25,E38,((J11-G25)*(1-D40))+E23),E38+(J11-G25)),0)</f>
        <v>0</v>
      </c>
    </row>
    <row r="14" spans="2:10" x14ac:dyDescent="0.25">
      <c r="B14" s="509" t="s">
        <v>525</v>
      </c>
      <c r="C14" s="285"/>
      <c r="D14" s="288"/>
      <c r="E14" s="269" t="str">
        <f>Mvalloc!H8</f>
        <v xml:space="preserve"> </v>
      </c>
      <c r="G14" s="395" t="s">
        <v>421</v>
      </c>
      <c r="H14" s="396"/>
      <c r="I14" s="396"/>
      <c r="J14" s="397">
        <f>IF(J11&gt;0,J13-E38,0)</f>
        <v>0</v>
      </c>
    </row>
    <row r="15" spans="2:10" x14ac:dyDescent="0.25">
      <c r="B15" s="283" t="s">
        <v>1056</v>
      </c>
      <c r="C15" s="285">
        <v>7708</v>
      </c>
      <c r="D15" s="288">
        <v>7470</v>
      </c>
      <c r="E15" s="263">
        <v>7233</v>
      </c>
      <c r="G15" s="656"/>
      <c r="H15" s="657"/>
      <c r="I15" s="657"/>
      <c r="J15" s="658"/>
    </row>
    <row r="16" spans="2:10" x14ac:dyDescent="0.25">
      <c r="B16" s="283" t="s">
        <v>1057</v>
      </c>
      <c r="C16" s="285">
        <v>1056250</v>
      </c>
      <c r="D16" s="288">
        <v>1051850</v>
      </c>
      <c r="E16" s="263">
        <v>1046450</v>
      </c>
      <c r="G16" s="258"/>
      <c r="H16" s="258"/>
      <c r="I16" s="258"/>
    </row>
    <row r="17" spans="2:11" x14ac:dyDescent="0.25">
      <c r="B17" s="283" t="s">
        <v>1058</v>
      </c>
      <c r="C17" s="285">
        <v>96244</v>
      </c>
      <c r="D17" s="288">
        <v>138339</v>
      </c>
      <c r="E17" s="263">
        <v>235739</v>
      </c>
      <c r="G17" s="770" t="str">
        <f>CONCATENATE("Projected Carryover Into ",E1+1,"")</f>
        <v>Projected Carryover Into 2027</v>
      </c>
      <c r="H17" s="771"/>
      <c r="I17" s="771"/>
      <c r="J17" s="772"/>
    </row>
    <row r="18" spans="2:11" x14ac:dyDescent="0.25">
      <c r="B18" s="280" t="s">
        <v>63</v>
      </c>
      <c r="C18" s="285">
        <v>0</v>
      </c>
      <c r="D18" s="288">
        <v>0</v>
      </c>
      <c r="E18" s="263">
        <v>0</v>
      </c>
      <c r="G18" s="384"/>
      <c r="H18" s="386"/>
      <c r="I18" s="386"/>
      <c r="J18" s="587"/>
    </row>
    <row r="19" spans="2:11" x14ac:dyDescent="0.25">
      <c r="B19" s="281" t="s">
        <v>8</v>
      </c>
      <c r="C19" s="285">
        <v>0</v>
      </c>
      <c r="D19" s="288">
        <v>0</v>
      </c>
      <c r="E19" s="457">
        <f>'NR Rebate20'!E7*-1</f>
        <v>0</v>
      </c>
      <c r="G19" s="400">
        <f>D35</f>
        <v>97712</v>
      </c>
      <c r="H19" s="378" t="str">
        <f>CONCATENATE("",E1-1," Ending Cash Balance (est.)")</f>
        <v>2025 Ending Cash Balance (est.)</v>
      </c>
      <c r="I19" s="401"/>
      <c r="J19" s="587"/>
    </row>
    <row r="20" spans="2:11" x14ac:dyDescent="0.25">
      <c r="B20" s="268" t="s">
        <v>9</v>
      </c>
      <c r="C20" s="167"/>
      <c r="D20" s="167"/>
      <c r="E20" s="39"/>
      <c r="F20" s="258"/>
      <c r="G20" s="400">
        <f>E22</f>
        <v>1289422</v>
      </c>
      <c r="H20" s="386" t="str">
        <f>CONCATENATE("",E1," Non-AV Receipts (est.)")</f>
        <v>2026 Non-AV Receipts (est.)</v>
      </c>
      <c r="I20" s="401"/>
      <c r="J20" s="587"/>
    </row>
    <row r="21" spans="2:11" x14ac:dyDescent="0.25">
      <c r="B21" s="268" t="s">
        <v>350</v>
      </c>
      <c r="C21" s="172" t="str">
        <f>IF(C22*0.1&lt;C20,"Exceed 10% Rule","")</f>
        <v/>
      </c>
      <c r="D21" s="172" t="str">
        <f>IF(D22*0.1&lt;D20,"Exceed 10% Rule","")</f>
        <v/>
      </c>
      <c r="E21" s="204" t="str">
        <f>IF(E22*0.1+E41&lt;E20,"Exceed 10% Rule","")</f>
        <v/>
      </c>
      <c r="F21" s="258"/>
      <c r="G21" s="402">
        <f>IF(E40&gt;0,E39,E41)</f>
        <v>0</v>
      </c>
      <c r="H21" s="386" t="str">
        <f>CONCATENATE("",E1," Ad Valorem Tax (est.)")</f>
        <v>2026 Ad Valorem Tax (est.)</v>
      </c>
      <c r="I21" s="401"/>
      <c r="J21" s="587"/>
      <c r="K21" s="26" t="str">
        <f>IF(G21=E41,"","Note: Does not include Delinquent Taxes")</f>
        <v/>
      </c>
    </row>
    <row r="22" spans="2:11" x14ac:dyDescent="0.25">
      <c r="B22" s="277" t="s">
        <v>64</v>
      </c>
      <c r="C22" s="289">
        <f>SUM(C8:C20)</f>
        <v>1160226</v>
      </c>
      <c r="D22" s="289">
        <f>SUM(D8:D20)</f>
        <v>1197659</v>
      </c>
      <c r="E22" s="284">
        <f>SUM(E9:E20)</f>
        <v>1289422</v>
      </c>
      <c r="F22" s="258"/>
      <c r="G22" s="400">
        <f>SUM(G19:G21)</f>
        <v>1387134</v>
      </c>
      <c r="H22" s="386" t="str">
        <f>CONCATENATE("Total ",E1," Resources Available")</f>
        <v>Total 2026 Resources Available</v>
      </c>
      <c r="I22" s="401"/>
      <c r="J22" s="587"/>
    </row>
    <row r="23" spans="2:11" x14ac:dyDescent="0.25">
      <c r="B23" s="277" t="s">
        <v>65</v>
      </c>
      <c r="C23" s="289">
        <f>SUM(C6+C22)</f>
        <v>1257916</v>
      </c>
      <c r="D23" s="289">
        <f>SUM(D6+D22)</f>
        <v>1295372</v>
      </c>
      <c r="E23" s="284">
        <f>SUM(E6+E22)</f>
        <v>1387134</v>
      </c>
      <c r="F23" s="258"/>
      <c r="G23" s="436"/>
      <c r="H23" s="386"/>
      <c r="I23" s="386"/>
      <c r="J23" s="587"/>
    </row>
    <row r="24" spans="2:11" x14ac:dyDescent="0.25">
      <c r="B24" s="268" t="s">
        <v>67</v>
      </c>
      <c r="C24" s="268"/>
      <c r="D24" s="286"/>
      <c r="E24" s="269"/>
      <c r="F24" s="258"/>
      <c r="G24" s="402">
        <f>C34</f>
        <v>1160203</v>
      </c>
      <c r="H24" s="386" t="s">
        <v>709</v>
      </c>
      <c r="I24" s="386"/>
      <c r="J24" s="587"/>
    </row>
    <row r="25" spans="2:11" x14ac:dyDescent="0.25">
      <c r="B25" s="283" t="s">
        <v>1059</v>
      </c>
      <c r="C25" s="299">
        <v>323958</v>
      </c>
      <c r="D25" s="288">
        <v>294320</v>
      </c>
      <c r="E25" s="263">
        <v>263683</v>
      </c>
      <c r="F25" s="258"/>
      <c r="G25" s="437">
        <f>G22-G24</f>
        <v>226931</v>
      </c>
      <c r="H25" s="438" t="str">
        <f>CONCATENATE("Projected ",E1+1," carryover (est.)")</f>
        <v>Projected 2027 carryover (est.)</v>
      </c>
      <c r="I25" s="439"/>
      <c r="J25" s="588"/>
    </row>
    <row r="26" spans="2:11" x14ac:dyDescent="0.25">
      <c r="B26" s="283" t="s">
        <v>107</v>
      </c>
      <c r="C26" s="299">
        <v>740000</v>
      </c>
      <c r="D26" s="288">
        <v>765000</v>
      </c>
      <c r="E26" s="263">
        <v>790000</v>
      </c>
      <c r="F26" s="258"/>
    </row>
    <row r="27" spans="2:11" x14ac:dyDescent="0.25">
      <c r="B27" s="283" t="s">
        <v>1060</v>
      </c>
      <c r="C27" s="299">
        <v>1</v>
      </c>
      <c r="D27" s="288">
        <v>1</v>
      </c>
      <c r="E27" s="263">
        <v>1</v>
      </c>
      <c r="F27" s="258"/>
      <c r="G27" s="756" t="s">
        <v>706</v>
      </c>
      <c r="H27" s="757"/>
      <c r="I27" s="757"/>
      <c r="J27" s="758"/>
    </row>
    <row r="28" spans="2:11" x14ac:dyDescent="0.25">
      <c r="B28" s="283" t="s">
        <v>1061</v>
      </c>
      <c r="C28" s="299">
        <v>96244</v>
      </c>
      <c r="D28" s="288">
        <v>138339</v>
      </c>
      <c r="E28" s="263">
        <v>235739</v>
      </c>
      <c r="F28" s="258"/>
      <c r="G28" s="759"/>
      <c r="H28" s="760"/>
      <c r="I28" s="760"/>
      <c r="J28" s="761"/>
    </row>
    <row r="29" spans="2:11" x14ac:dyDescent="0.25">
      <c r="B29" s="283"/>
      <c r="C29" s="299"/>
      <c r="D29" s="288"/>
      <c r="E29" s="263"/>
      <c r="F29" s="258"/>
      <c r="G29" s="580" t="str">
        <f>'Budget Hearing Notice'!H16</f>
        <v xml:space="preserve">  </v>
      </c>
      <c r="H29" s="378" t="str">
        <f>CONCATENATE("",E1," Estimated Fund Mill Rate")</f>
        <v>2026 Estimated Fund Mill Rate</v>
      </c>
      <c r="I29" s="581"/>
      <c r="J29" s="582"/>
    </row>
    <row r="30" spans="2:11" x14ac:dyDescent="0.25">
      <c r="B30" s="283"/>
      <c r="C30" s="299"/>
      <c r="D30" s="288"/>
      <c r="E30" s="263"/>
      <c r="F30" s="258"/>
      <c r="G30" s="583" t="str">
        <f>'Budget Hearing Notice'!E16</f>
        <v xml:space="preserve">  </v>
      </c>
      <c r="H30" s="378" t="str">
        <f>CONCATENATE("",E1-1," Fund Mill Rate")</f>
        <v>2025 Fund Mill Rate</v>
      </c>
      <c r="I30" s="581"/>
      <c r="J30" s="582"/>
    </row>
    <row r="31" spans="2:11" x14ac:dyDescent="0.25">
      <c r="B31" s="271" t="str">
        <f>CONCATENATE("Cash Reserve (",E1," column)")</f>
        <v>Cash Reserve (2026 column)</v>
      </c>
      <c r="C31" s="299">
        <v>0</v>
      </c>
      <c r="D31" s="288">
        <v>0</v>
      </c>
      <c r="E31" s="263">
        <v>50000</v>
      </c>
      <c r="F31" s="258"/>
      <c r="G31" s="584">
        <f>inputOth!D20</f>
        <v>33.582999999999998</v>
      </c>
      <c r="H31" s="585" t="s">
        <v>707</v>
      </c>
      <c r="I31" s="581"/>
      <c r="J31" s="582"/>
    </row>
    <row r="32" spans="2:11" x14ac:dyDescent="0.25">
      <c r="B32" s="281" t="s">
        <v>9</v>
      </c>
      <c r="C32" s="299"/>
      <c r="D32" s="288"/>
      <c r="E32" s="263"/>
      <c r="F32" s="258"/>
      <c r="G32" s="580">
        <f>'Budget Hearing Notice'!H52</f>
        <v>34.4</v>
      </c>
      <c r="H32" s="378" t="str">
        <f>CONCATENATE(E1," Estimated Total Mill Rate")</f>
        <v>2026 Estimated Total Mill Rate</v>
      </c>
      <c r="I32" s="581"/>
      <c r="J32" s="582"/>
    </row>
    <row r="33" spans="2:10" x14ac:dyDescent="0.25">
      <c r="B33" s="281" t="s">
        <v>352</v>
      </c>
      <c r="C33" s="172" t="str">
        <f>IF(C34*0.1&lt;C32,"Exceed 10% Rule","")</f>
        <v/>
      </c>
      <c r="D33" s="172" t="str">
        <f>IF(D34*0.1&lt;D32,"Exceed 10% Rule","")</f>
        <v/>
      </c>
      <c r="E33" s="204" t="str">
        <f>IF(E34*0.1&lt;E32,"Exceed 10% Rule","")</f>
        <v/>
      </c>
      <c r="F33" s="258"/>
      <c r="G33" s="586">
        <f>'Budget Hearing Notice'!E52</f>
        <v>34.4</v>
      </c>
      <c r="H33" s="378" t="str">
        <f>CONCATENATE(E1-1," Total Mill Rate")</f>
        <v>2025 Total Mill Rate</v>
      </c>
      <c r="I33" s="581"/>
      <c r="J33" s="582"/>
    </row>
    <row r="34" spans="2:10" x14ac:dyDescent="0.25">
      <c r="B34" s="277" t="s">
        <v>71</v>
      </c>
      <c r="C34" s="289">
        <f>SUM(C25:C32)</f>
        <v>1160203</v>
      </c>
      <c r="D34" s="289">
        <f>SUM(D25:D32)</f>
        <v>1197660</v>
      </c>
      <c r="E34" s="284">
        <f>SUM(E25:E32)</f>
        <v>1339423</v>
      </c>
      <c r="F34" s="258"/>
      <c r="G34" s="398"/>
      <c r="H34" s="385"/>
      <c r="I34" s="385"/>
      <c r="J34" s="405"/>
    </row>
    <row r="35" spans="2:10" x14ac:dyDescent="0.25">
      <c r="B35" s="268" t="s">
        <v>134</v>
      </c>
      <c r="C35" s="457">
        <f>SUM(C23-C34)</f>
        <v>97713</v>
      </c>
      <c r="D35" s="457">
        <f>SUM(D23-D34)</f>
        <v>97712</v>
      </c>
      <c r="E35" s="282" t="s">
        <v>49</v>
      </c>
      <c r="F35" s="258"/>
      <c r="G35" s="762" t="s">
        <v>708</v>
      </c>
      <c r="H35" s="763"/>
      <c r="I35" s="763"/>
      <c r="J35" s="766" t="str">
        <f>IF(G32&gt;G31, "Yes", "No")</f>
        <v>Yes</v>
      </c>
    </row>
    <row r="36" spans="2:10" x14ac:dyDescent="0.25">
      <c r="B36" s="458" t="str">
        <f>CONCATENATE("",E1-2,"/",E1-1,"/",E1," Budget Authority Amount:")</f>
        <v>2024/2025/2026 Budget Authority Amount:</v>
      </c>
      <c r="C36" s="457">
        <f>inputOth!B64</f>
        <v>1187689</v>
      </c>
      <c r="D36" s="456">
        <f>inputPrYr!D19</f>
        <v>1235884</v>
      </c>
      <c r="E36" s="269">
        <f>E34</f>
        <v>1339423</v>
      </c>
      <c r="F36" s="258"/>
      <c r="G36" s="764"/>
      <c r="H36" s="765"/>
      <c r="I36" s="765"/>
      <c r="J36" s="767"/>
    </row>
    <row r="37" spans="2:10" x14ac:dyDescent="0.25">
      <c r="B37" s="273"/>
      <c r="C37" s="749" t="s">
        <v>319</v>
      </c>
      <c r="D37" s="750"/>
      <c r="E37" s="39"/>
      <c r="F37" s="278"/>
      <c r="G37" s="768" t="str">
        <f>IF(J35="Yes", "Follow procedure prescribed by KSA 79-2988 to exceed the Revenue Neutral Rate.", " ")</f>
        <v>Follow procedure prescribed by KSA 79-2988 to exceed the Revenue Neutral Rate.</v>
      </c>
      <c r="H37" s="768"/>
      <c r="I37" s="768"/>
      <c r="J37" s="768"/>
    </row>
    <row r="38" spans="2:10" x14ac:dyDescent="0.25">
      <c r="B38" s="331" t="str">
        <f>CONCATENATE(C99,"     ",D99)</f>
        <v xml:space="preserve">     </v>
      </c>
      <c r="C38" s="751" t="s">
        <v>320</v>
      </c>
      <c r="D38" s="752"/>
      <c r="E38" s="269">
        <f>SUM(E34+E37)</f>
        <v>1339423</v>
      </c>
      <c r="F38" s="295" t="str">
        <f>IF(E34/0.95-E34&lt;E37,"Exceeds 5%","")</f>
        <v/>
      </c>
      <c r="G38" s="769"/>
      <c r="H38" s="769"/>
      <c r="I38" s="769"/>
      <c r="J38" s="769"/>
    </row>
    <row r="39" spans="2:10" x14ac:dyDescent="0.25">
      <c r="B39" s="331" t="str">
        <f>CONCATENATE(C100,"     ",D100)</f>
        <v xml:space="preserve">     </v>
      </c>
      <c r="C39" s="279"/>
      <c r="D39" s="274" t="s">
        <v>72</v>
      </c>
      <c r="E39" s="457">
        <f>IF(E38-E23&gt;0,E38-E23,0)</f>
        <v>0</v>
      </c>
      <c r="F39" s="258"/>
      <c r="G39" s="769"/>
      <c r="H39" s="769"/>
      <c r="I39" s="769"/>
      <c r="J39" s="769"/>
    </row>
    <row r="40" spans="2:10" x14ac:dyDescent="0.25">
      <c r="B40" s="274"/>
      <c r="C40" s="257" t="s">
        <v>318</v>
      </c>
      <c r="D40" s="451">
        <f>inputOth!$E$50</f>
        <v>0</v>
      </c>
      <c r="E40" s="269">
        <f>ROUND(IF(D40&gt;0,(E39*D40),0),0)</f>
        <v>0</v>
      </c>
      <c r="F40" s="258"/>
    </row>
    <row r="41" spans="2:10" ht="16" thickBot="1" x14ac:dyDescent="0.3">
      <c r="B41" s="259"/>
      <c r="C41" s="776" t="str">
        <f>CONCATENATE("Amount of  ",E1-1," Ad Valorem Tax")</f>
        <v>Amount of  2025 Ad Valorem Tax</v>
      </c>
      <c r="D41" s="777"/>
      <c r="E41" s="381">
        <f>SUM(E39:E40)</f>
        <v>0</v>
      </c>
      <c r="F41" s="258"/>
    </row>
    <row r="42" spans="2:10" ht="16" thickTop="1" x14ac:dyDescent="0.25">
      <c r="B42" s="259"/>
      <c r="C42" s="367"/>
      <c r="D42" s="264"/>
      <c r="E42" s="264"/>
      <c r="F42" s="258"/>
    </row>
    <row r="43" spans="2:10" x14ac:dyDescent="0.25">
      <c r="B43" s="261"/>
      <c r="C43" s="261"/>
      <c r="D43" s="275"/>
      <c r="E43" s="275"/>
      <c r="F43" s="258"/>
    </row>
    <row r="44" spans="2:10" x14ac:dyDescent="0.25">
      <c r="B44" s="261" t="s">
        <v>57</v>
      </c>
      <c r="C44" s="443" t="s">
        <v>475</v>
      </c>
      <c r="D44" s="444" t="s">
        <v>476</v>
      </c>
      <c r="E44" s="87" t="s">
        <v>477</v>
      </c>
      <c r="F44" s="258"/>
    </row>
    <row r="45" spans="2:10" x14ac:dyDescent="0.25">
      <c r="B45" s="291" t="str">
        <f>inputPrYr!B20</f>
        <v>Library</v>
      </c>
      <c r="C45" s="137" t="str">
        <f>CONCATENATE("Actual for ",E1-2,"")</f>
        <v>Actual for 2024</v>
      </c>
      <c r="D45" s="137" t="str">
        <f>CONCATENATE("Estimate for ",E1-1,"")</f>
        <v>Estimate for 2025</v>
      </c>
      <c r="E45" s="122" t="str">
        <f>CONCATENATE("Year for ",E1,"")</f>
        <v>Year for 2026</v>
      </c>
      <c r="F45" s="258"/>
    </row>
    <row r="46" spans="2:10" x14ac:dyDescent="0.25">
      <c r="B46" s="268" t="s">
        <v>133</v>
      </c>
      <c r="C46" s="285">
        <v>186</v>
      </c>
      <c r="D46" s="286">
        <f>C75</f>
        <v>1</v>
      </c>
      <c r="E46" s="269">
        <f>D75</f>
        <v>0</v>
      </c>
      <c r="F46" s="258"/>
    </row>
    <row r="47" spans="2:10" x14ac:dyDescent="0.25">
      <c r="B47" s="276" t="s">
        <v>135</v>
      </c>
      <c r="C47" s="268"/>
      <c r="D47" s="286"/>
      <c r="E47" s="269"/>
      <c r="F47" s="258"/>
    </row>
    <row r="48" spans="2:10" x14ac:dyDescent="0.25">
      <c r="B48" s="268" t="s">
        <v>58</v>
      </c>
      <c r="C48" s="285">
        <v>318564</v>
      </c>
      <c r="D48" s="286">
        <f>IF(inputPrYr!H21&gt;0,inputPrYr!G24,inputPrYr!E20)</f>
        <v>325553</v>
      </c>
      <c r="E48" s="282" t="s">
        <v>49</v>
      </c>
      <c r="F48" s="258"/>
    </row>
    <row r="49" spans="2:11" x14ac:dyDescent="0.25">
      <c r="B49" s="268" t="s">
        <v>59</v>
      </c>
      <c r="C49" s="285">
        <v>2805</v>
      </c>
      <c r="D49" s="288">
        <v>676</v>
      </c>
      <c r="E49" s="263">
        <v>0</v>
      </c>
      <c r="F49" s="258"/>
    </row>
    <row r="50" spans="2:11" x14ac:dyDescent="0.25">
      <c r="B50" s="268" t="s">
        <v>60</v>
      </c>
      <c r="C50" s="285">
        <v>39459</v>
      </c>
      <c r="D50" s="288">
        <v>30587</v>
      </c>
      <c r="E50" s="269">
        <f>Mvalloc!D9</f>
        <v>30848</v>
      </c>
      <c r="F50" s="258"/>
    </row>
    <row r="51" spans="2:11" x14ac:dyDescent="0.25">
      <c r="B51" s="268" t="s">
        <v>61</v>
      </c>
      <c r="C51" s="285">
        <v>475</v>
      </c>
      <c r="D51" s="288">
        <v>571</v>
      </c>
      <c r="E51" s="269">
        <f>Mvalloc!E9</f>
        <v>543</v>
      </c>
      <c r="F51" s="258"/>
    </row>
    <row r="52" spans="2:11" x14ac:dyDescent="0.25">
      <c r="B52" s="271" t="s">
        <v>126</v>
      </c>
      <c r="C52" s="285">
        <v>570</v>
      </c>
      <c r="D52" s="288">
        <v>539</v>
      </c>
      <c r="E52" s="269">
        <f>Mvalloc!F9</f>
        <v>471</v>
      </c>
      <c r="F52" s="258"/>
      <c r="G52" s="770" t="str">
        <f>CONCATENATE("Desired Carryover Into ",E1+1,"")</f>
        <v>Desired Carryover Into 2027</v>
      </c>
      <c r="H52" s="773"/>
      <c r="I52" s="773"/>
      <c r="J52" s="774"/>
    </row>
    <row r="53" spans="2:11" x14ac:dyDescent="0.25">
      <c r="B53" s="509" t="s">
        <v>524</v>
      </c>
      <c r="C53" s="285">
        <v>2962</v>
      </c>
      <c r="D53" s="288">
        <v>2636</v>
      </c>
      <c r="E53" s="269">
        <f>Mvalloc!G9</f>
        <v>2477</v>
      </c>
      <c r="G53" s="384"/>
      <c r="H53" s="385"/>
      <c r="I53" s="386"/>
      <c r="J53" s="387"/>
    </row>
    <row r="54" spans="2:11" x14ac:dyDescent="0.25">
      <c r="B54" s="509" t="s">
        <v>525</v>
      </c>
      <c r="C54" s="285"/>
      <c r="D54" s="288"/>
      <c r="E54" s="269">
        <f>Mvalloc!H9</f>
        <v>0</v>
      </c>
      <c r="G54" s="388" t="s">
        <v>347</v>
      </c>
      <c r="H54" s="386"/>
      <c r="I54" s="386"/>
      <c r="J54" s="389">
        <v>0</v>
      </c>
    </row>
    <row r="55" spans="2:11" x14ac:dyDescent="0.25">
      <c r="B55" s="263"/>
      <c r="C55" s="285"/>
      <c r="D55" s="288"/>
      <c r="E55" s="263"/>
      <c r="G55" s="384" t="s">
        <v>348</v>
      </c>
      <c r="H55" s="385"/>
      <c r="I55" s="385"/>
      <c r="J55" s="390" t="str">
        <f>IF(J54=0,"",ROUND((J54+E81-G67)/inputOth!E7*1000,3)-G72)</f>
        <v/>
      </c>
    </row>
    <row r="56" spans="2:11" x14ac:dyDescent="0.25">
      <c r="B56" s="283"/>
      <c r="C56" s="285"/>
      <c r="D56" s="288"/>
      <c r="E56" s="263"/>
      <c r="G56" s="391" t="str">
        <f>CONCATENATE("",E1," Tot Exp/Non-Appr Must Be:")</f>
        <v>2026 Tot Exp/Non-Appr Must Be:</v>
      </c>
      <c r="H56" s="392"/>
      <c r="I56" s="393"/>
      <c r="J56" s="394">
        <f>IF(J54&gt;0,IF(E78&lt;E63,IF(J54=G67,E78,((J54-G67)*(1-D80))+E63),E78+(J54-G67)),0)</f>
        <v>0</v>
      </c>
    </row>
    <row r="57" spans="2:11" x14ac:dyDescent="0.25">
      <c r="B57" s="283"/>
      <c r="C57" s="285"/>
      <c r="D57" s="288"/>
      <c r="E57" s="263"/>
      <c r="G57" s="395" t="s">
        <v>421</v>
      </c>
      <c r="H57" s="396"/>
      <c r="I57" s="396"/>
      <c r="J57" s="397">
        <f>IF(J54&gt;0,J56-E78,0)</f>
        <v>0</v>
      </c>
    </row>
    <row r="58" spans="2:11" x14ac:dyDescent="0.35">
      <c r="B58" s="280" t="s">
        <v>63</v>
      </c>
      <c r="C58" s="285"/>
      <c r="D58" s="288"/>
      <c r="E58" s="263"/>
      <c r="G58" s="2"/>
      <c r="H58" s="2"/>
      <c r="I58" s="2"/>
      <c r="J58" s="2"/>
    </row>
    <row r="59" spans="2:11" x14ac:dyDescent="0.25">
      <c r="B59" s="271" t="s">
        <v>8</v>
      </c>
      <c r="C59" s="285">
        <v>-21624</v>
      </c>
      <c r="D59" s="288">
        <v>-12430</v>
      </c>
      <c r="E59" s="457">
        <f>'NR Rebate20'!E8*-1</f>
        <v>-10302</v>
      </c>
      <c r="G59" s="770" t="str">
        <f>CONCATENATE("Projected Carryover Into ",E1+1,"")</f>
        <v>Projected Carryover Into 2027</v>
      </c>
      <c r="H59" s="775"/>
      <c r="I59" s="775"/>
      <c r="J59" s="772"/>
    </row>
    <row r="60" spans="2:11" x14ac:dyDescent="0.35">
      <c r="B60" s="268" t="s">
        <v>9</v>
      </c>
      <c r="C60" s="285"/>
      <c r="D60" s="167"/>
      <c r="E60" s="39"/>
      <c r="G60" s="398"/>
      <c r="H60" s="385"/>
      <c r="I60" s="385"/>
      <c r="J60" s="399"/>
    </row>
    <row r="61" spans="2:11" x14ac:dyDescent="0.35">
      <c r="B61" s="268" t="s">
        <v>350</v>
      </c>
      <c r="C61" s="172" t="str">
        <f>IF(C62*0.1&lt;C60,"Exceed 10% Rule","")</f>
        <v/>
      </c>
      <c r="D61" s="172" t="str">
        <f>IF(D62*0.1&lt;D60,"Exceed 10% Rule","")</f>
        <v/>
      </c>
      <c r="E61" s="204" t="str">
        <f>IF(E62*0.1+E81&lt;E60,"Exceed 10% Rule","")</f>
        <v/>
      </c>
      <c r="G61" s="400">
        <f>D75</f>
        <v>0</v>
      </c>
      <c r="H61" s="378" t="str">
        <f>CONCATENATE("",E1-1," Ending Cash Balance (est.)")</f>
        <v>2025 Ending Cash Balance (est.)</v>
      </c>
      <c r="I61" s="401"/>
      <c r="J61" s="399"/>
    </row>
    <row r="62" spans="2:11" x14ac:dyDescent="0.35">
      <c r="B62" s="277" t="s">
        <v>64</v>
      </c>
      <c r="C62" s="595">
        <f>SUM(C48:C60)</f>
        <v>343211</v>
      </c>
      <c r="D62" s="595">
        <f>SUM(D48:D60)</f>
        <v>348132</v>
      </c>
      <c r="E62" s="595">
        <f>SUM(E49:E60)</f>
        <v>24037</v>
      </c>
      <c r="G62" s="400">
        <f>E62</f>
        <v>24037</v>
      </c>
      <c r="H62" s="386" t="str">
        <f>CONCATENATE("",E1," Non-AV Receipts (est.)")</f>
        <v>2026 Non-AV Receipts (est.)</v>
      </c>
      <c r="I62" s="401"/>
      <c r="J62" s="399"/>
      <c r="K62" s="379" t="str">
        <f>IF(G63=E81,"","Note: Does not include Delinquent Taxes")</f>
        <v/>
      </c>
    </row>
    <row r="63" spans="2:11" x14ac:dyDescent="0.35">
      <c r="B63" s="277" t="s">
        <v>65</v>
      </c>
      <c r="C63" s="595">
        <f>SUM(C46+C62)</f>
        <v>343397</v>
      </c>
      <c r="D63" s="595">
        <f>SUM(D46+D62)</f>
        <v>348133</v>
      </c>
      <c r="E63" s="595">
        <f>SUM(E46+E62)</f>
        <v>24037</v>
      </c>
      <c r="G63" s="402">
        <f>IF(E80&gt;0,E79,E81)</f>
        <v>336952</v>
      </c>
      <c r="H63" s="386" t="str">
        <f>CONCATENATE("",E1," Ad Valorem Tax (est.)")</f>
        <v>2026 Ad Valorem Tax (est.)</v>
      </c>
      <c r="I63" s="401"/>
      <c r="J63" s="399"/>
    </row>
    <row r="64" spans="2:11" x14ac:dyDescent="0.35">
      <c r="B64" s="268" t="s">
        <v>67</v>
      </c>
      <c r="C64" s="268"/>
      <c r="D64" s="286"/>
      <c r="E64" s="269"/>
      <c r="G64" s="404">
        <f>SUM(G61:G63)</f>
        <v>360989</v>
      </c>
      <c r="H64" s="386" t="str">
        <f>CONCATENATE("Total ",E1," Resources Available")</f>
        <v>Total 2026 Resources Available</v>
      </c>
      <c r="I64" s="405"/>
      <c r="J64" s="399"/>
    </row>
    <row r="65" spans="2:10" x14ac:dyDescent="0.35">
      <c r="B65" s="283" t="s">
        <v>1062</v>
      </c>
      <c r="C65" s="285">
        <v>343396</v>
      </c>
      <c r="D65" s="288">
        <v>348133</v>
      </c>
      <c r="E65" s="263">
        <v>360989</v>
      </c>
      <c r="G65" s="406"/>
      <c r="H65" s="407"/>
      <c r="I65" s="385"/>
      <c r="J65" s="399"/>
    </row>
    <row r="66" spans="2:10" x14ac:dyDescent="0.35">
      <c r="B66" s="283"/>
      <c r="C66" s="285"/>
      <c r="D66" s="288"/>
      <c r="E66" s="263"/>
      <c r="G66" s="408">
        <f>ROUND(C74*0.05+C74,0)</f>
        <v>360566</v>
      </c>
      <c r="H66" s="407" t="str">
        <f>CONCATENATE("Less ",E1-2," Expenditures + 5%")</f>
        <v>Less 2024 Expenditures + 5%</v>
      </c>
      <c r="I66" s="405"/>
      <c r="J66" s="399"/>
    </row>
    <row r="67" spans="2:10" x14ac:dyDescent="0.35">
      <c r="B67" s="283"/>
      <c r="C67" s="285"/>
      <c r="D67" s="288"/>
      <c r="E67" s="263"/>
      <c r="G67" s="409">
        <f>G64-G66</f>
        <v>423</v>
      </c>
      <c r="H67" s="410" t="str">
        <f>CONCATENATE("Projected ",E1+1," carryover (est.)")</f>
        <v>Projected 2027 carryover (est.)</v>
      </c>
      <c r="I67" s="411"/>
      <c r="J67" s="412"/>
    </row>
    <row r="68" spans="2:10" x14ac:dyDescent="0.35">
      <c r="B68" s="283"/>
      <c r="C68" s="285"/>
      <c r="D68" s="288"/>
      <c r="E68" s="263"/>
      <c r="F68" s="2"/>
      <c r="G68" s="2"/>
      <c r="H68" s="2"/>
      <c r="I68" s="2"/>
      <c r="J68" s="2"/>
    </row>
    <row r="69" spans="2:10" x14ac:dyDescent="0.35">
      <c r="B69" s="283"/>
      <c r="C69" s="285"/>
      <c r="D69" s="288"/>
      <c r="E69" s="263"/>
      <c r="F69" s="2"/>
      <c r="G69" s="756" t="s">
        <v>706</v>
      </c>
      <c r="H69" s="757"/>
      <c r="I69" s="757"/>
      <c r="J69" s="758"/>
    </row>
    <row r="70" spans="2:10" x14ac:dyDescent="0.35">
      <c r="B70" s="283"/>
      <c r="C70" s="285"/>
      <c r="D70" s="288"/>
      <c r="E70" s="263"/>
      <c r="F70" s="2"/>
      <c r="G70" s="759"/>
      <c r="H70" s="760"/>
      <c r="I70" s="760"/>
      <c r="J70" s="761"/>
    </row>
    <row r="71" spans="2:10" x14ac:dyDescent="0.35">
      <c r="B71" s="283"/>
      <c r="C71" s="285"/>
      <c r="D71" s="288"/>
      <c r="E71" s="263"/>
      <c r="F71" s="2"/>
      <c r="G71" s="580">
        <f>'Budget Hearing Notice'!H17</f>
        <v>5.1580000000000004</v>
      </c>
      <c r="H71" s="378" t="str">
        <f>CONCATENATE("",E1," Estimated Fund Mill Rate")</f>
        <v>2026 Estimated Fund Mill Rate</v>
      </c>
      <c r="I71" s="581"/>
      <c r="J71" s="582"/>
    </row>
    <row r="72" spans="2:10" x14ac:dyDescent="0.35">
      <c r="B72" s="271" t="s">
        <v>9</v>
      </c>
      <c r="C72" s="299"/>
      <c r="D72" s="288"/>
      <c r="E72" s="263"/>
      <c r="F72" s="2"/>
      <c r="G72" s="583">
        <f>'Budget Hearing Notice'!E17</f>
        <v>5.3460000000000001</v>
      </c>
      <c r="H72" s="378" t="str">
        <f>CONCATENATE("",E1-1," Fund Mill Rate")</f>
        <v>2025 Fund Mill Rate</v>
      </c>
      <c r="I72" s="581"/>
      <c r="J72" s="582"/>
    </row>
    <row r="73" spans="2:10" x14ac:dyDescent="0.35">
      <c r="B73" s="271" t="s">
        <v>351</v>
      </c>
      <c r="C73" s="172" t="str">
        <f>IF(C74*0.1&lt;C72,"Exceed 10% Rule","")</f>
        <v/>
      </c>
      <c r="D73" s="172" t="str">
        <f>IF(D74*0.1&lt;D72,"Exceed 10% Rule","")</f>
        <v/>
      </c>
      <c r="E73" s="204" t="str">
        <f>IF(E74*0.1&lt;E72,"Exceed 10% Rule","")</f>
        <v/>
      </c>
      <c r="F73" s="2"/>
      <c r="G73" s="584">
        <f>inputOth!D20</f>
        <v>33.582999999999998</v>
      </c>
      <c r="H73" s="585" t="s">
        <v>707</v>
      </c>
      <c r="I73" s="581"/>
      <c r="J73" s="582"/>
    </row>
    <row r="74" spans="2:10" x14ac:dyDescent="0.25">
      <c r="B74" s="277" t="s">
        <v>71</v>
      </c>
      <c r="C74" s="595">
        <f>SUM(C65:C72)</f>
        <v>343396</v>
      </c>
      <c r="D74" s="595">
        <f>SUM(D65:D72)</f>
        <v>348133</v>
      </c>
      <c r="E74" s="595">
        <f>SUM(E65:E72)</f>
        <v>360989</v>
      </c>
      <c r="F74"/>
      <c r="G74" s="580">
        <f>'Budget Hearing Notice'!H52</f>
        <v>34.4</v>
      </c>
      <c r="H74" s="378" t="str">
        <f>CONCATENATE(E1," Estimated Total Mill Rate")</f>
        <v>2026 Estimated Total Mill Rate</v>
      </c>
      <c r="I74" s="581"/>
      <c r="J74" s="582"/>
    </row>
    <row r="75" spans="2:10" x14ac:dyDescent="0.25">
      <c r="B75" s="268" t="s">
        <v>134</v>
      </c>
      <c r="C75" s="457">
        <f>SUM(C63-C74)</f>
        <v>1</v>
      </c>
      <c r="D75" s="457">
        <f>SUM(D63-D74)</f>
        <v>0</v>
      </c>
      <c r="E75" s="282" t="s">
        <v>49</v>
      </c>
      <c r="F75"/>
      <c r="G75" s="586">
        <f>'Budget Hearing Notice'!E52</f>
        <v>34.4</v>
      </c>
      <c r="H75" s="378" t="str">
        <f>CONCATENATE(E1-1," Total Mill Rate")</f>
        <v>2025 Total Mill Rate</v>
      </c>
      <c r="I75" s="581"/>
      <c r="J75" s="582"/>
    </row>
    <row r="76" spans="2:10" x14ac:dyDescent="0.25">
      <c r="B76" s="458" t="str">
        <f>CONCATENATE("",E1-2,"/",E1-1,"/",E1," Budget Authority Amount:")</f>
        <v>2024/2025/2026 Budget Authority Amount:</v>
      </c>
      <c r="C76" s="457">
        <f>inputOth!B65</f>
        <v>343396</v>
      </c>
      <c r="D76" s="457">
        <f>inputPrYr!D20</f>
        <v>352883</v>
      </c>
      <c r="E76" s="269">
        <f>E74</f>
        <v>360989</v>
      </c>
      <c r="F76"/>
      <c r="G76" s="398"/>
      <c r="H76" s="385"/>
      <c r="I76" s="385"/>
      <c r="J76" s="405"/>
    </row>
    <row r="77" spans="2:10" x14ac:dyDescent="0.25">
      <c r="B77" s="273"/>
      <c r="C77" s="749" t="s">
        <v>319</v>
      </c>
      <c r="D77" s="750"/>
      <c r="E77" s="39"/>
      <c r="F77"/>
      <c r="G77" s="762" t="s">
        <v>708</v>
      </c>
      <c r="H77" s="763"/>
      <c r="I77" s="763"/>
      <c r="J77" s="766" t="str">
        <f>IF(G74&gt;G73, "Yes", "No")</f>
        <v>Yes</v>
      </c>
    </row>
    <row r="78" spans="2:10" x14ac:dyDescent="0.25">
      <c r="B78" s="331" t="str">
        <f>CONCATENATE(C101,"     ",D101)</f>
        <v xml:space="preserve">     </v>
      </c>
      <c r="C78" s="751" t="s">
        <v>320</v>
      </c>
      <c r="D78" s="752"/>
      <c r="E78" s="269">
        <f>SUM(E74+E77)</f>
        <v>360989</v>
      </c>
      <c r="F78"/>
      <c r="G78" s="764"/>
      <c r="H78" s="765"/>
      <c r="I78" s="765"/>
      <c r="J78" s="767"/>
    </row>
    <row r="79" spans="2:10" x14ac:dyDescent="0.25">
      <c r="B79" s="331" t="str">
        <f>CONCATENATE(C102,"     ",D102)</f>
        <v xml:space="preserve">     </v>
      </c>
      <c r="C79" s="279"/>
      <c r="D79" s="274" t="s">
        <v>72</v>
      </c>
      <c r="E79" s="457">
        <f>IF(E78-E63&gt;0,E78-E63,0)</f>
        <v>336952</v>
      </c>
      <c r="F79" s="184"/>
      <c r="G79" s="768" t="str">
        <f>IF(J77="Yes", "Follow procedure prescribed by KSA 79-2988 to exceed the Revenue Neutral Rate.", " ")</f>
        <v>Follow procedure prescribed by KSA 79-2988 to exceed the Revenue Neutral Rate.</v>
      </c>
      <c r="H79" s="768"/>
      <c r="I79" s="768"/>
      <c r="J79" s="768"/>
    </row>
    <row r="80" spans="2:10" x14ac:dyDescent="0.25">
      <c r="B80" s="274"/>
      <c r="C80" s="257" t="s">
        <v>318</v>
      </c>
      <c r="D80" s="451">
        <f>inputOth!$E$50</f>
        <v>0</v>
      </c>
      <c r="E80" s="269">
        <f>ROUND(IF(D80&gt;0,(E79*D80),0),0)</f>
        <v>0</v>
      </c>
      <c r="F80" s="403" t="str">
        <f>IF(E74/0.95-E74&lt;E77,"Exceeds 5%","")</f>
        <v/>
      </c>
      <c r="G80" s="769"/>
      <c r="H80" s="769"/>
      <c r="I80" s="769"/>
      <c r="J80" s="769"/>
    </row>
    <row r="81" spans="2:10" ht="16" thickBot="1" x14ac:dyDescent="0.3">
      <c r="B81" s="259"/>
      <c r="C81" s="776" t="str">
        <f>CONCATENATE("Amount of  ",E1-1," Ad Valorem Tax")</f>
        <v>Amount of  2025 Ad Valorem Tax</v>
      </c>
      <c r="D81" s="777"/>
      <c r="E81" s="381">
        <f>SUM(E79:E80)</f>
        <v>336952</v>
      </c>
      <c r="F81"/>
      <c r="G81" s="769"/>
      <c r="H81" s="769"/>
      <c r="I81" s="769"/>
      <c r="J81" s="769"/>
    </row>
    <row r="82" spans="2:10" ht="16" thickTop="1" x14ac:dyDescent="0.3">
      <c r="B82" s="259"/>
      <c r="C82" s="367"/>
      <c r="D82" s="259"/>
      <c r="E82" s="367"/>
      <c r="F82" s="413" t="str">
        <f>IF('Library Grant'!F31="","",IF('Library Grant'!F31="Qualify","Qualifies for State Library Grant","See 'Library Grant' tab"))</f>
        <v>Qualifies for State Library Grant</v>
      </c>
    </row>
    <row r="83" spans="2:10" x14ac:dyDescent="0.25">
      <c r="B83" s="541" t="s">
        <v>535</v>
      </c>
      <c r="C83" s="516"/>
      <c r="D83" s="517"/>
      <c r="E83" s="518"/>
      <c r="F83"/>
    </row>
    <row r="84" spans="2:10" x14ac:dyDescent="0.25">
      <c r="B84" s="341"/>
      <c r="C84" s="367"/>
      <c r="D84" s="338"/>
      <c r="E84" s="519"/>
    </row>
    <row r="85" spans="2:10" x14ac:dyDescent="0.25">
      <c r="B85" s="520"/>
      <c r="C85" s="521"/>
      <c r="D85" s="522"/>
      <c r="E85" s="523"/>
      <c r="F85"/>
    </row>
    <row r="86" spans="2:10" x14ac:dyDescent="0.35">
      <c r="B86" s="338"/>
      <c r="C86" s="367"/>
      <c r="D86" s="338"/>
      <c r="E86" s="367"/>
      <c r="F86" s="2"/>
    </row>
    <row r="87" spans="2:10" x14ac:dyDescent="0.25">
      <c r="B87" s="274" t="s">
        <v>74</v>
      </c>
      <c r="C87" s="464">
        <v>8</v>
      </c>
      <c r="D87" s="264"/>
      <c r="E87" s="259"/>
      <c r="F87"/>
    </row>
    <row r="88" spans="2:10" x14ac:dyDescent="0.35">
      <c r="F88" s="2"/>
    </row>
    <row r="89" spans="2:10" x14ac:dyDescent="0.35">
      <c r="B89" s="265"/>
      <c r="C89" s="265"/>
      <c r="D89" s="258"/>
      <c r="E89" s="258"/>
      <c r="F89" s="2"/>
    </row>
    <row r="94" spans="2:10" x14ac:dyDescent="0.25">
      <c r="C94" s="260" t="s">
        <v>322</v>
      </c>
      <c r="D94" s="260" t="s">
        <v>322</v>
      </c>
    </row>
    <row r="95" spans="2:10" ht="1.5" customHeight="1" x14ac:dyDescent="0.25">
      <c r="C95" s="260" t="s">
        <v>322</v>
      </c>
      <c r="D95" s="260" t="s">
        <v>322</v>
      </c>
    </row>
    <row r="96" spans="2:10" ht="15" hidden="1" customHeight="1" x14ac:dyDescent="0.25"/>
    <row r="97" spans="3:4" ht="15.75" hidden="1" customHeight="1" x14ac:dyDescent="0.25">
      <c r="C97" s="260" t="s">
        <v>322</v>
      </c>
      <c r="D97" s="260" t="s">
        <v>322</v>
      </c>
    </row>
    <row r="98" spans="3:4" ht="1.5" hidden="1" customHeight="1" x14ac:dyDescent="0.25">
      <c r="C98" s="260" t="s">
        <v>322</v>
      </c>
      <c r="D98" s="260" t="s">
        <v>322</v>
      </c>
    </row>
    <row r="99" spans="3:4" ht="43.5" hidden="1" customHeight="1" x14ac:dyDescent="0.25">
      <c r="C99" s="330" t="str">
        <f>IF(C34&gt;C36,"See Tab A","")</f>
        <v/>
      </c>
      <c r="D99" s="330" t="str">
        <f>IF(D34&gt;D36,"See Tab C","")</f>
        <v/>
      </c>
    </row>
    <row r="100" spans="3:4" ht="24.75" customHeight="1" x14ac:dyDescent="0.25">
      <c r="C100" s="330" t="str">
        <f>IF(C35&lt;0,"See Tab B","")</f>
        <v/>
      </c>
      <c r="D100" s="330" t="str">
        <f>IF(D35&lt;0,"See Tab D","")</f>
        <v/>
      </c>
    </row>
    <row r="101" spans="3:4" x14ac:dyDescent="0.25">
      <c r="C101" s="330" t="str">
        <f>IF(C74&gt;C76,"See Tab A","")</f>
        <v/>
      </c>
      <c r="D101" s="330" t="str">
        <f>IF(D74&gt;D76,"See Tab C","")</f>
        <v/>
      </c>
    </row>
    <row r="102" spans="3:4" x14ac:dyDescent="0.25">
      <c r="C102" s="330" t="str">
        <f>IF(C75&lt;0,"See Tab B","")</f>
        <v/>
      </c>
      <c r="D102" s="330" t="str">
        <f>IF(D75&lt;0,"See Tab D","")</f>
        <v/>
      </c>
    </row>
  </sheetData>
  <mergeCells count="18">
    <mergeCell ref="C81:D81"/>
    <mergeCell ref="C77:D77"/>
    <mergeCell ref="C78:D78"/>
    <mergeCell ref="C37:D37"/>
    <mergeCell ref="C38:D38"/>
    <mergeCell ref="C41:D41"/>
    <mergeCell ref="G77:I78"/>
    <mergeCell ref="J77:J78"/>
    <mergeCell ref="G79:J81"/>
    <mergeCell ref="G17:J17"/>
    <mergeCell ref="G9:J9"/>
    <mergeCell ref="G52:J52"/>
    <mergeCell ref="G59:J59"/>
    <mergeCell ref="G27:J28"/>
    <mergeCell ref="G35:I36"/>
    <mergeCell ref="J35:J36"/>
    <mergeCell ref="G37:J39"/>
    <mergeCell ref="G69:J70"/>
  </mergeCells>
  <phoneticPr fontId="8" type="noConversion"/>
  <conditionalFormatting sqref="C20">
    <cfRule type="cellIs" dxfId="320" priority="22" stopIfTrue="1" operator="greaterThan">
      <formula>$C$22*0.1</formula>
    </cfRule>
  </conditionalFormatting>
  <conditionalFormatting sqref="C32">
    <cfRule type="cellIs" dxfId="319" priority="26" stopIfTrue="1" operator="greaterThan">
      <formula>$C$34*0.1</formula>
    </cfRule>
  </conditionalFormatting>
  <conditionalFormatting sqref="C34">
    <cfRule type="expression" dxfId="318" priority="8">
      <formula>$C$34&gt;$C$36</formula>
    </cfRule>
  </conditionalFormatting>
  <conditionalFormatting sqref="C35">
    <cfRule type="expression" dxfId="317" priority="7">
      <formula>$C$35&lt;0</formula>
    </cfRule>
  </conditionalFormatting>
  <conditionalFormatting sqref="C60">
    <cfRule type="cellIs" dxfId="316" priority="32" stopIfTrue="1" operator="greaterThan">
      <formula>$C$62*0.1</formula>
    </cfRule>
  </conditionalFormatting>
  <conditionalFormatting sqref="C72">
    <cfRule type="cellIs" dxfId="315" priority="29" stopIfTrue="1" operator="greaterThan">
      <formula>$C$74*0.1</formula>
    </cfRule>
  </conditionalFormatting>
  <conditionalFormatting sqref="C74">
    <cfRule type="expression" dxfId="314" priority="4">
      <formula>$C$74&gt;$C$76</formula>
    </cfRule>
  </conditionalFormatting>
  <conditionalFormatting sqref="C75">
    <cfRule type="expression" dxfId="313" priority="3">
      <formula>$C$75&lt;0</formula>
    </cfRule>
  </conditionalFormatting>
  <conditionalFormatting sqref="D20 D60">
    <cfRule type="cellIs" dxfId="312" priority="31" stopIfTrue="1" operator="greaterThan">
      <formula>$D$22*0.1</formula>
    </cfRule>
  </conditionalFormatting>
  <conditionalFormatting sqref="D32">
    <cfRule type="cellIs" dxfId="311" priority="25" stopIfTrue="1" operator="greaterThan">
      <formula>$D$34*0.1</formula>
    </cfRule>
  </conditionalFormatting>
  <conditionalFormatting sqref="D34">
    <cfRule type="expression" dxfId="310" priority="6">
      <formula>$D$34&gt;$D$36</formula>
    </cfRule>
  </conditionalFormatting>
  <conditionalFormatting sqref="D35">
    <cfRule type="expression" dxfId="309" priority="5">
      <formula>$D$35&lt;0</formula>
    </cfRule>
  </conditionalFormatting>
  <conditionalFormatting sqref="D72">
    <cfRule type="cellIs" dxfId="308" priority="28" stopIfTrue="1" operator="greaterThan">
      <formula>$D$74*0.1</formula>
    </cfRule>
  </conditionalFormatting>
  <conditionalFormatting sqref="D74">
    <cfRule type="expression" dxfId="307" priority="2">
      <formula>$D$74&gt;$D$76</formula>
    </cfRule>
  </conditionalFormatting>
  <conditionalFormatting sqref="D75">
    <cfRule type="expression" dxfId="306" priority="1">
      <formula>$D$75&lt;0</formula>
    </cfRule>
  </conditionalFormatting>
  <conditionalFormatting sqref="E20">
    <cfRule type="cellIs" dxfId="305" priority="21" stopIfTrue="1" operator="greaterThan">
      <formula>$E$22*0.1+E41</formula>
    </cfRule>
  </conditionalFormatting>
  <conditionalFormatting sqref="E32">
    <cfRule type="cellIs" dxfId="304" priority="24" stopIfTrue="1" operator="greaterThan">
      <formula>$E$34*0.1</formula>
    </cfRule>
  </conditionalFormatting>
  <conditionalFormatting sqref="E37">
    <cfRule type="cellIs" dxfId="303" priority="20" stopIfTrue="1" operator="greaterThan">
      <formula>$E$34/0.95-$E$34</formula>
    </cfRule>
  </conditionalFormatting>
  <conditionalFormatting sqref="E60">
    <cfRule type="cellIs" dxfId="302" priority="30" stopIfTrue="1" operator="greaterThan">
      <formula>$E$22*0.1+E81</formula>
    </cfRule>
  </conditionalFormatting>
  <conditionalFormatting sqref="E72">
    <cfRule type="cellIs" dxfId="301" priority="27" stopIfTrue="1" operator="greaterThan">
      <formula>$E$74*0.1</formula>
    </cfRule>
  </conditionalFormatting>
  <conditionalFormatting sqref="E77">
    <cfRule type="cellIs" dxfId="300" priority="19" stopIfTrue="1" operator="greaterThan">
      <formula>$E$74/0.95-$E$74</formula>
    </cfRule>
  </conditionalFormatting>
  <conditionalFormatting sqref="J35">
    <cfRule type="containsText" dxfId="299" priority="10" operator="containsText" text="Yes">
      <formula>NOT(ISERROR(SEARCH("Yes",J35)))</formula>
    </cfRule>
  </conditionalFormatting>
  <conditionalFormatting sqref="J77">
    <cfRule type="containsText" dxfId="298" priority="9" operator="containsText" text="Yes">
      <formula>NOT(ISERROR(SEARCH("Yes",J77)))</formula>
    </cfRule>
  </conditionalFormatting>
  <pageMargins left="0.75" right="0.75" top="1" bottom="1" header="0.5" footer="0.5"/>
  <pageSetup scale="47"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DD571"/>
    <pageSetUpPr fitToPage="1"/>
  </sheetPr>
  <dimension ref="B1:K102"/>
  <sheetViews>
    <sheetView topLeftCell="A55" zoomScaleNormal="100" workbookViewId="0">
      <selection activeCell="B84" sqref="B84"/>
    </sheetView>
  </sheetViews>
  <sheetFormatPr defaultColWidth="8.9140625" defaultRowHeight="15.5" x14ac:dyDescent="0.25"/>
  <cols>
    <col min="1" max="1" width="2.4140625" style="26" customWidth="1"/>
    <col min="2" max="2" width="31.08203125" style="26" customWidth="1"/>
    <col min="3" max="4" width="15.75" style="26" customWidth="1"/>
    <col min="5" max="5" width="16.25" style="26" customWidth="1"/>
    <col min="6" max="6" width="8.9140625" style="26"/>
    <col min="7" max="7" width="10.25" style="26" customWidth="1"/>
    <col min="8" max="8" width="8.9140625" style="26"/>
    <col min="9" max="9" width="5.58203125" style="26" customWidth="1"/>
    <col min="10" max="10" width="10" style="26" customWidth="1"/>
    <col min="11" max="16384" width="8.9140625" style="26"/>
  </cols>
  <sheetData>
    <row r="1" spans="2:10" x14ac:dyDescent="0.25">
      <c r="B1" s="47" t="str">
        <f>(inputPrYr!D3)</f>
        <v>The City of Colby</v>
      </c>
      <c r="C1" s="28"/>
      <c r="D1" s="28"/>
      <c r="E1" s="80">
        <f>inputPrYr!C6</f>
        <v>2026</v>
      </c>
    </row>
    <row r="2" spans="2:10" x14ac:dyDescent="0.25">
      <c r="B2" s="28"/>
      <c r="C2" s="28"/>
      <c r="D2" s="28"/>
      <c r="E2" s="107"/>
    </row>
    <row r="3" spans="2:10" x14ac:dyDescent="0.25">
      <c r="B3" s="160" t="s">
        <v>119</v>
      </c>
      <c r="C3" s="115"/>
      <c r="D3" s="115"/>
      <c r="E3" s="132"/>
    </row>
    <row r="4" spans="2:10" x14ac:dyDescent="0.25">
      <c r="B4" s="29" t="s">
        <v>57</v>
      </c>
      <c r="C4" s="443" t="s">
        <v>475</v>
      </c>
      <c r="D4" s="444" t="s">
        <v>476</v>
      </c>
      <c r="E4" s="87" t="s">
        <v>477</v>
      </c>
    </row>
    <row r="5" spans="2:10" x14ac:dyDescent="0.25">
      <c r="B5" s="334" t="str">
        <f>inputPrYr!B22</f>
        <v>Recreation</v>
      </c>
      <c r="C5" s="137" t="str">
        <f>CONCATENATE("Actual for ",E1-2,"")</f>
        <v>Actual for 2024</v>
      </c>
      <c r="D5" s="137" t="str">
        <f>CONCATENATE("Estimate for ",E1-1,"")</f>
        <v>Estimate for 2025</v>
      </c>
      <c r="E5" s="122" t="str">
        <f>CONCATENATE("Year for ",E1,"")</f>
        <v>Year for 2026</v>
      </c>
    </row>
    <row r="6" spans="2:10" x14ac:dyDescent="0.25">
      <c r="B6" s="162" t="s">
        <v>133</v>
      </c>
      <c r="C6" s="167">
        <v>22710</v>
      </c>
      <c r="D6" s="165">
        <f>C34</f>
        <v>18748</v>
      </c>
      <c r="E6" s="140">
        <f>D34</f>
        <v>9693</v>
      </c>
    </row>
    <row r="7" spans="2:10" x14ac:dyDescent="0.25">
      <c r="B7" s="166" t="s">
        <v>135</v>
      </c>
      <c r="C7" s="102"/>
      <c r="D7" s="102"/>
      <c r="E7" s="52"/>
    </row>
    <row r="8" spans="2:10" x14ac:dyDescent="0.25">
      <c r="B8" s="93" t="s">
        <v>58</v>
      </c>
      <c r="C8" s="167">
        <v>191162</v>
      </c>
      <c r="D8" s="165">
        <f>IF(inputPrYr!H21&gt;0,inputPrYr!G26,inputPrYr!E22)</f>
        <v>194263</v>
      </c>
      <c r="E8" s="192" t="s">
        <v>49</v>
      </c>
      <c r="G8" s="770" t="str">
        <f>CONCATENATE("Desired Carryover Into ",E1+1,"")</f>
        <v>Desired Carryover Into 2027</v>
      </c>
      <c r="H8" s="754"/>
      <c r="I8" s="754"/>
      <c r="J8" s="755"/>
    </row>
    <row r="9" spans="2:10" x14ac:dyDescent="0.25">
      <c r="B9" s="93" t="s">
        <v>59</v>
      </c>
      <c r="C9" s="167">
        <v>1603</v>
      </c>
      <c r="D9" s="167">
        <v>403</v>
      </c>
      <c r="E9" s="39">
        <v>0</v>
      </c>
      <c r="G9" s="384"/>
      <c r="H9" s="385"/>
      <c r="I9" s="386"/>
      <c r="J9" s="387"/>
    </row>
    <row r="10" spans="2:10" x14ac:dyDescent="0.25">
      <c r="B10" s="93" t="s">
        <v>60</v>
      </c>
      <c r="C10" s="167">
        <v>21807</v>
      </c>
      <c r="D10" s="167">
        <v>18352</v>
      </c>
      <c r="E10" s="140">
        <f>Mvalloc!D10</f>
        <v>18408</v>
      </c>
      <c r="G10" s="388" t="s">
        <v>347</v>
      </c>
      <c r="H10" s="386"/>
      <c r="I10" s="386"/>
      <c r="J10" s="389">
        <v>0</v>
      </c>
    </row>
    <row r="11" spans="2:10" x14ac:dyDescent="0.25">
      <c r="B11" s="93" t="s">
        <v>61</v>
      </c>
      <c r="C11" s="167">
        <v>262</v>
      </c>
      <c r="D11" s="167">
        <v>343</v>
      </c>
      <c r="E11" s="140">
        <f>Mvalloc!E10</f>
        <v>324</v>
      </c>
      <c r="G11" s="384" t="s">
        <v>348</v>
      </c>
      <c r="H11" s="385"/>
      <c r="I11" s="385"/>
      <c r="J11" s="390" t="str">
        <f>IF(J10=0,"",ROUND((J10+E40-G23)/inputOth!E7*1000,3)-G29)</f>
        <v/>
      </c>
    </row>
    <row r="12" spans="2:10" x14ac:dyDescent="0.25">
      <c r="B12" s="102" t="s">
        <v>126</v>
      </c>
      <c r="C12" s="167">
        <v>342</v>
      </c>
      <c r="D12" s="167">
        <v>323</v>
      </c>
      <c r="E12" s="140">
        <f>Mvalloc!F10</f>
        <v>281</v>
      </c>
      <c r="G12" s="391" t="str">
        <f>CONCATENATE("",E1," Tot Exp/Non-Appr Must Be:")</f>
        <v>2026 Tot Exp/Non-Appr Must Be:</v>
      </c>
      <c r="H12" s="392"/>
      <c r="I12" s="393"/>
      <c r="J12" s="394">
        <f>IF(J10&gt;0,IF(E37&lt;E21,IF(J10=G23,E37,((J10-G23)*(1-D39))+E21),E37+(J10-G23)),0)</f>
        <v>0</v>
      </c>
    </row>
    <row r="13" spans="2:10" x14ac:dyDescent="0.25">
      <c r="B13" s="509" t="s">
        <v>524</v>
      </c>
      <c r="C13" s="167">
        <v>1700</v>
      </c>
      <c r="D13" s="167">
        <v>1582</v>
      </c>
      <c r="E13" s="140">
        <f>Mvalloc!G10</f>
        <v>1478</v>
      </c>
      <c r="G13" s="395" t="s">
        <v>421</v>
      </c>
      <c r="H13" s="396"/>
      <c r="I13" s="396"/>
      <c r="J13" s="397">
        <f>IF(J10&gt;0,J12-E37,0)</f>
        <v>0</v>
      </c>
    </row>
    <row r="14" spans="2:10" x14ac:dyDescent="0.35">
      <c r="B14" s="182" t="s">
        <v>1063</v>
      </c>
      <c r="C14" s="167">
        <v>74476</v>
      </c>
      <c r="D14" s="167">
        <v>75000</v>
      </c>
      <c r="E14" s="39">
        <v>85000</v>
      </c>
      <c r="J14" s="2"/>
    </row>
    <row r="15" spans="2:10" x14ac:dyDescent="0.25">
      <c r="B15" s="182" t="s">
        <v>1069</v>
      </c>
      <c r="C15" s="167">
        <v>88683</v>
      </c>
      <c r="D15" s="167">
        <v>65000</v>
      </c>
      <c r="E15" s="39">
        <v>75000</v>
      </c>
      <c r="G15" s="770" t="str">
        <f>CONCATENATE("Projected Carryover Into ",E1+1,"")</f>
        <v>Projected Carryover Into 2027</v>
      </c>
      <c r="H15" s="771"/>
      <c r="I15" s="771"/>
      <c r="J15" s="772"/>
    </row>
    <row r="16" spans="2:10" x14ac:dyDescent="0.35">
      <c r="B16" s="171" t="s">
        <v>63</v>
      </c>
      <c r="C16" s="167">
        <v>14472</v>
      </c>
      <c r="D16" s="167">
        <v>12039</v>
      </c>
      <c r="E16" s="39">
        <v>11764</v>
      </c>
      <c r="G16" s="384"/>
      <c r="H16" s="386"/>
      <c r="I16" s="386"/>
      <c r="J16" s="399"/>
    </row>
    <row r="17" spans="2:11" x14ac:dyDescent="0.35">
      <c r="B17" s="183" t="s">
        <v>8</v>
      </c>
      <c r="C17" s="167">
        <v>-12976</v>
      </c>
      <c r="D17" s="167">
        <v>-7417</v>
      </c>
      <c r="E17" s="140">
        <f>'NR Rebate20'!E9*-1</f>
        <v>-5890</v>
      </c>
      <c r="G17" s="400">
        <f>D34</f>
        <v>9693</v>
      </c>
      <c r="H17" s="378" t="str">
        <f>CONCATENATE("",E1-1," Ending Cash Balance (est.)")</f>
        <v>2025 Ending Cash Balance (est.)</v>
      </c>
      <c r="I17" s="401"/>
      <c r="J17" s="399"/>
    </row>
    <row r="18" spans="2:11" x14ac:dyDescent="0.35">
      <c r="B18" s="102" t="s">
        <v>9</v>
      </c>
      <c r="C18" s="167"/>
      <c r="D18" s="167"/>
      <c r="E18" s="39"/>
      <c r="G18" s="400">
        <f>E20</f>
        <v>186365</v>
      </c>
      <c r="H18" s="386" t="str">
        <f>CONCATENATE("",E1," Non-AV Receipts (est.)")</f>
        <v>2026 Non-AV Receipts (est.)</v>
      </c>
      <c r="I18" s="401"/>
      <c r="J18" s="399"/>
    </row>
    <row r="19" spans="2:11" x14ac:dyDescent="0.3">
      <c r="B19" s="162" t="s">
        <v>350</v>
      </c>
      <c r="C19" s="172" t="str">
        <f>IF(C20*0.1&lt;C18,"Exceed 10% Rule","")</f>
        <v/>
      </c>
      <c r="D19" s="172" t="str">
        <f>IF(D20*0.1&lt;D18,"Exceed 10% Rule","")</f>
        <v/>
      </c>
      <c r="E19" s="204" t="str">
        <f>IF(E20*0.1+E40&lt;E18,"Exceed 10% Rule","")</f>
        <v/>
      </c>
      <c r="G19" s="402">
        <f>IF(E39&gt;0,E38,E40)</f>
        <v>195990</v>
      </c>
      <c r="H19" s="386" t="str">
        <f>CONCATENATE("",E1," Ad Valorem Tax (est.)")</f>
        <v>2026 Ad Valorem Tax (est.)</v>
      </c>
      <c r="I19" s="401"/>
      <c r="J19" s="380"/>
      <c r="K19" s="379" t="str">
        <f>IF(G19=E40,"","Note: Does not include Delinquent Taxes")</f>
        <v/>
      </c>
    </row>
    <row r="20" spans="2:11" x14ac:dyDescent="0.35">
      <c r="B20" s="174" t="s">
        <v>64</v>
      </c>
      <c r="C20" s="594">
        <f>SUM(C8:C18)</f>
        <v>381531</v>
      </c>
      <c r="D20" s="594">
        <f>SUM(D8:D18)</f>
        <v>359888</v>
      </c>
      <c r="E20" s="594">
        <f>SUM(E8:E18)</f>
        <v>186365</v>
      </c>
      <c r="G20" s="400">
        <f>SUM(G17:G19)</f>
        <v>392048</v>
      </c>
      <c r="H20" s="386" t="str">
        <f>CONCATENATE("Total ",E1," Resources Available")</f>
        <v>Total 2026 Resources Available</v>
      </c>
      <c r="I20" s="401"/>
      <c r="J20" s="399"/>
    </row>
    <row r="21" spans="2:11" x14ac:dyDescent="0.35">
      <c r="B21" s="174" t="s">
        <v>65</v>
      </c>
      <c r="C21" s="594">
        <f>C6+C20</f>
        <v>404241</v>
      </c>
      <c r="D21" s="594">
        <f>D6+D20</f>
        <v>378636</v>
      </c>
      <c r="E21" s="594">
        <f>E6+E20</f>
        <v>196058</v>
      </c>
      <c r="G21" s="436"/>
      <c r="H21" s="386"/>
      <c r="I21" s="386"/>
      <c r="J21" s="399"/>
    </row>
    <row r="22" spans="2:11" x14ac:dyDescent="0.35">
      <c r="B22" s="93" t="s">
        <v>67</v>
      </c>
      <c r="C22" s="183"/>
      <c r="D22" s="183"/>
      <c r="E22" s="38"/>
      <c r="G22" s="402">
        <f>ROUND(C33*0.05+C33,0)</f>
        <v>404768</v>
      </c>
      <c r="H22" s="386" t="str">
        <f>CONCATENATE("Less ",E1-2," Expenditures + 5%")</f>
        <v>Less 2024 Expenditures + 5%</v>
      </c>
      <c r="I22" s="401"/>
      <c r="J22" s="399"/>
    </row>
    <row r="23" spans="2:11" x14ac:dyDescent="0.35">
      <c r="B23" s="182" t="s">
        <v>1064</v>
      </c>
      <c r="C23" s="167">
        <v>140745</v>
      </c>
      <c r="D23" s="167">
        <v>134368</v>
      </c>
      <c r="E23" s="39">
        <v>143612</v>
      </c>
      <c r="G23" s="437">
        <f>G20-G22</f>
        <v>-12720</v>
      </c>
      <c r="H23" s="438" t="str">
        <f>CONCATENATE("Projected ",E1+1," carryover (est.)")</f>
        <v>Projected 2027 carryover (est.)</v>
      </c>
      <c r="I23" s="439"/>
      <c r="J23" s="412"/>
    </row>
    <row r="24" spans="2:11" x14ac:dyDescent="0.35">
      <c r="B24" s="182" t="s">
        <v>1065</v>
      </c>
      <c r="C24" s="167">
        <v>40768</v>
      </c>
      <c r="D24" s="167">
        <v>45422</v>
      </c>
      <c r="E24" s="39">
        <v>48903</v>
      </c>
      <c r="G24" s="659"/>
      <c r="H24" s="660"/>
      <c r="I24" s="660"/>
      <c r="J24" s="2"/>
    </row>
    <row r="25" spans="2:11" x14ac:dyDescent="0.35">
      <c r="B25" s="182" t="s">
        <v>1066</v>
      </c>
      <c r="C25" s="167">
        <v>26260</v>
      </c>
      <c r="D25" s="167">
        <v>29250</v>
      </c>
      <c r="E25" s="39">
        <v>33050</v>
      </c>
      <c r="G25" s="2"/>
      <c r="H25" s="2"/>
      <c r="I25" s="2"/>
      <c r="J25" s="2"/>
    </row>
    <row r="26" spans="2:11" x14ac:dyDescent="0.25">
      <c r="B26" s="182" t="s">
        <v>1067</v>
      </c>
      <c r="C26" s="167">
        <v>2895</v>
      </c>
      <c r="D26" s="167">
        <v>3000</v>
      </c>
      <c r="E26" s="39">
        <v>8000</v>
      </c>
      <c r="G26" s="756" t="s">
        <v>706</v>
      </c>
      <c r="H26" s="757"/>
      <c r="I26" s="757"/>
      <c r="J26" s="758"/>
    </row>
    <row r="27" spans="2:11" x14ac:dyDescent="0.25">
      <c r="B27" s="182" t="s">
        <v>1025</v>
      </c>
      <c r="C27" s="167">
        <v>133683</v>
      </c>
      <c r="D27" s="167">
        <v>110000</v>
      </c>
      <c r="E27" s="39">
        <v>110929</v>
      </c>
      <c r="G27" s="759"/>
      <c r="H27" s="760"/>
      <c r="I27" s="760"/>
      <c r="J27" s="761"/>
    </row>
    <row r="28" spans="2:11" x14ac:dyDescent="0.25">
      <c r="B28" s="182" t="s">
        <v>1026</v>
      </c>
      <c r="C28" s="167">
        <v>5000</v>
      </c>
      <c r="D28" s="167">
        <v>5000</v>
      </c>
      <c r="E28" s="39">
        <v>5000</v>
      </c>
      <c r="G28" s="580">
        <f>'Budget Hearing Notice'!H18</f>
        <v>3</v>
      </c>
      <c r="H28" s="378" t="str">
        <f>CONCATENATE("",E1," Estimated Fund Mill Rate")</f>
        <v>2026 Estimated Fund Mill Rate</v>
      </c>
      <c r="I28" s="581"/>
      <c r="J28" s="582"/>
    </row>
    <row r="29" spans="2:11" x14ac:dyDescent="0.25">
      <c r="B29" s="182" t="s">
        <v>1068</v>
      </c>
      <c r="C29" s="167">
        <v>36142</v>
      </c>
      <c r="D29" s="167">
        <v>41903</v>
      </c>
      <c r="E29" s="39">
        <v>42554</v>
      </c>
      <c r="G29" s="583">
        <f>'Budget Hearing Notice'!E52</f>
        <v>34.4</v>
      </c>
      <c r="H29" s="378" t="str">
        <f>CONCATENATE("",E1-1," Fund Mill Rate")</f>
        <v>2025 Fund Mill Rate</v>
      </c>
      <c r="I29" s="581"/>
      <c r="J29" s="582"/>
    </row>
    <row r="30" spans="2:11" x14ac:dyDescent="0.25">
      <c r="B30" s="183" t="str">
        <f>CONCATENATE("Cash Reserve (",E1," column)")</f>
        <v>Cash Reserve (2026 column)</v>
      </c>
      <c r="C30" s="167"/>
      <c r="D30" s="167"/>
      <c r="E30" s="39"/>
      <c r="G30" s="584">
        <f>inputOth!D20</f>
        <v>33.582999999999998</v>
      </c>
      <c r="H30" s="585" t="s">
        <v>707</v>
      </c>
      <c r="I30" s="581"/>
      <c r="J30" s="582"/>
    </row>
    <row r="31" spans="2:11" x14ac:dyDescent="0.25">
      <c r="B31" s="183" t="s">
        <v>9</v>
      </c>
      <c r="C31" s="167"/>
      <c r="D31" s="167"/>
      <c r="E31" s="39"/>
      <c r="G31" s="580">
        <f>'Budget Hearing Notice'!H52</f>
        <v>34.4</v>
      </c>
      <c r="H31" s="378" t="str">
        <f>CONCATENATE(E1," Estimated Total Mill Rate")</f>
        <v>2026 Estimated Total Mill Rate</v>
      </c>
      <c r="I31" s="581"/>
      <c r="J31" s="582"/>
    </row>
    <row r="32" spans="2:11" x14ac:dyDescent="0.25">
      <c r="B32" s="183" t="s">
        <v>351</v>
      </c>
      <c r="C32" s="172" t="str">
        <f>IF(C33*0.1&lt;C31,"Exceed 10% Rule","")</f>
        <v/>
      </c>
      <c r="D32" s="172" t="str">
        <f>IF(D33*0.1&lt;D31,"Exceed 10% Rule","")</f>
        <v/>
      </c>
      <c r="E32" s="204" t="str">
        <f>IF(E33*0.1&lt;E31,"Exceed 10% Rule","")</f>
        <v/>
      </c>
      <c r="G32" s="586">
        <f>'Budget Hearing Notice'!E52</f>
        <v>34.4</v>
      </c>
      <c r="H32" s="378" t="str">
        <f>CONCATENATE(E1-1," Total Mill Rate")</f>
        <v>2025 Total Mill Rate</v>
      </c>
      <c r="I32" s="581"/>
      <c r="J32" s="582"/>
    </row>
    <row r="33" spans="2:10" x14ac:dyDescent="0.25">
      <c r="B33" s="174" t="s">
        <v>71</v>
      </c>
      <c r="C33" s="594">
        <f>SUM(C23:C31)</f>
        <v>385493</v>
      </c>
      <c r="D33" s="594">
        <f>SUM(D23:D31)</f>
        <v>368943</v>
      </c>
      <c r="E33" s="594">
        <f>SUM(E23:E31)</f>
        <v>392048</v>
      </c>
      <c r="G33" s="398"/>
      <c r="H33" s="385"/>
      <c r="I33" s="385"/>
      <c r="J33" s="405"/>
    </row>
    <row r="34" spans="2:10" x14ac:dyDescent="0.25">
      <c r="B34" s="93" t="s">
        <v>134</v>
      </c>
      <c r="C34" s="140">
        <f>C21-C33</f>
        <v>18748</v>
      </c>
      <c r="D34" s="140">
        <f>D21-D33</f>
        <v>9693</v>
      </c>
      <c r="E34" s="192" t="s">
        <v>49</v>
      </c>
      <c r="G34" s="762" t="s">
        <v>708</v>
      </c>
      <c r="H34" s="763"/>
      <c r="I34" s="763"/>
      <c r="J34" s="766" t="str">
        <f>IF(G31&gt;G30, "Yes", "No")</f>
        <v>Yes</v>
      </c>
    </row>
    <row r="35" spans="2:10" x14ac:dyDescent="0.25">
      <c r="B35" s="108" t="str">
        <f>CONCATENATE("",E1-2,"/",E1-1,"/",E1," Budget Authority Amount:")</f>
        <v>2024/2025/2026 Budget Authority Amount:</v>
      </c>
      <c r="C35" s="447">
        <f>inputOth!B66</f>
        <v>407157</v>
      </c>
      <c r="D35" s="447">
        <f>inputPrYr!D22</f>
        <v>390860</v>
      </c>
      <c r="E35" s="140">
        <f>E33</f>
        <v>392048</v>
      </c>
      <c r="G35" s="764"/>
      <c r="H35" s="765"/>
      <c r="I35" s="765"/>
      <c r="J35" s="767"/>
    </row>
    <row r="36" spans="2:10" x14ac:dyDescent="0.25">
      <c r="B36" s="80"/>
      <c r="C36" s="749" t="s">
        <v>319</v>
      </c>
      <c r="D36" s="750"/>
      <c r="E36" s="39"/>
      <c r="G36" s="768" t="str">
        <f>IF(J34="Yes", "Follow procedure prescribed by KSA 79-2988 to exceed the Revenue Neutral Rate.", " ")</f>
        <v>Follow procedure prescribed by KSA 79-2988 to exceed the Revenue Neutral Rate.</v>
      </c>
      <c r="H36" s="768"/>
      <c r="I36" s="768"/>
      <c r="J36" s="768"/>
    </row>
    <row r="37" spans="2:10" x14ac:dyDescent="0.25">
      <c r="B37" s="331" t="str">
        <f>CONCATENATE(C99,"     ",D99)</f>
        <v xml:space="preserve">     </v>
      </c>
      <c r="C37" s="751" t="s">
        <v>320</v>
      </c>
      <c r="D37" s="752"/>
      <c r="E37" s="140">
        <f>E33+E36</f>
        <v>392048</v>
      </c>
      <c r="G37" s="769"/>
      <c r="H37" s="769"/>
      <c r="I37" s="769"/>
      <c r="J37" s="769"/>
    </row>
    <row r="38" spans="2:10" x14ac:dyDescent="0.25">
      <c r="B38" s="331" t="str">
        <f>CONCATENATE(C100,"     ",D100)</f>
        <v xml:space="preserve">     </v>
      </c>
      <c r="C38" s="185"/>
      <c r="D38" s="107" t="s">
        <v>72</v>
      </c>
      <c r="E38" s="140">
        <f>IF(E37-E21&gt;0,E37-E21,0)</f>
        <v>195990</v>
      </c>
      <c r="F38" s="184"/>
      <c r="G38" s="769"/>
      <c r="H38" s="769"/>
      <c r="I38" s="769"/>
      <c r="J38" s="769"/>
    </row>
    <row r="39" spans="2:10" x14ac:dyDescent="0.25">
      <c r="B39" s="107"/>
      <c r="C39" s="257" t="s">
        <v>318</v>
      </c>
      <c r="D39" s="451">
        <f>inputOth!$E$50</f>
        <v>0</v>
      </c>
      <c r="E39" s="140">
        <f>ROUND(IF(D39&gt;0,(E38*D39),0),0)</f>
        <v>0</v>
      </c>
      <c r="F39" s="452" t="str">
        <f>IF(E33/0.95-E33&lt;E36,"Exceeds 5%","")</f>
        <v/>
      </c>
    </row>
    <row r="40" spans="2:10" ht="16" thickBot="1" x14ac:dyDescent="0.3">
      <c r="B40" s="107"/>
      <c r="C40" s="726" t="str">
        <f>CONCATENATE("Amount of  ",$E$1-1," Ad Valorem Tax")</f>
        <v>Amount of  2025 Ad Valorem Tax</v>
      </c>
      <c r="D40" s="753"/>
      <c r="E40" s="383">
        <f>E38+E39</f>
        <v>195990</v>
      </c>
    </row>
    <row r="41" spans="2:10" ht="16" thickTop="1" x14ac:dyDescent="0.25">
      <c r="B41" s="28"/>
      <c r="C41" s="726"/>
      <c r="D41" s="753"/>
      <c r="E41" s="28"/>
    </row>
    <row r="42" spans="2:10" x14ac:dyDescent="0.25">
      <c r="B42" s="29"/>
      <c r="C42" s="194"/>
      <c r="D42" s="194"/>
      <c r="E42" s="194"/>
    </row>
    <row r="43" spans="2:10" x14ac:dyDescent="0.25">
      <c r="B43" s="29" t="s">
        <v>57</v>
      </c>
      <c r="C43" s="443" t="s">
        <v>475</v>
      </c>
      <c r="D43" s="444" t="s">
        <v>476</v>
      </c>
      <c r="E43" s="87" t="s">
        <v>477</v>
      </c>
    </row>
    <row r="44" spans="2:10" x14ac:dyDescent="0.25">
      <c r="B44" s="334" t="str">
        <f>(inputPrYr!B23)</f>
        <v>Noxious Weeds</v>
      </c>
      <c r="C44" s="137" t="str">
        <f>CONCATENATE("Actual for ",E1-2,"")</f>
        <v>Actual for 2024</v>
      </c>
      <c r="D44" s="137" t="str">
        <f>CONCATENATE("Estimate for ",E1-1,"")</f>
        <v>Estimate for 2025</v>
      </c>
      <c r="E44" s="122" t="str">
        <f>CONCATENATE("Year for ",E1,"")</f>
        <v>Year for 2026</v>
      </c>
    </row>
    <row r="45" spans="2:10" x14ac:dyDescent="0.25">
      <c r="B45" s="162" t="s">
        <v>133</v>
      </c>
      <c r="C45" s="167">
        <v>12346</v>
      </c>
      <c r="D45" s="165">
        <f>C74</f>
        <v>12313</v>
      </c>
      <c r="E45" s="140">
        <f>D74</f>
        <v>3514</v>
      </c>
    </row>
    <row r="46" spans="2:10" x14ac:dyDescent="0.25">
      <c r="B46" s="166" t="s">
        <v>135</v>
      </c>
      <c r="C46" s="102"/>
      <c r="D46" s="102"/>
      <c r="E46" s="52"/>
    </row>
    <row r="47" spans="2:10" x14ac:dyDescent="0.25">
      <c r="B47" s="93" t="s">
        <v>58</v>
      </c>
      <c r="C47" s="167">
        <v>5363</v>
      </c>
      <c r="D47" s="165">
        <f>IF(inputPrYr!H21&gt;0,inputPrYr!G27,inputPrYr!E23)</f>
        <v>7139</v>
      </c>
      <c r="E47" s="192" t="s">
        <v>49</v>
      </c>
    </row>
    <row r="48" spans="2:10" x14ac:dyDescent="0.25">
      <c r="B48" s="93" t="s">
        <v>59</v>
      </c>
      <c r="C48" s="167">
        <v>45</v>
      </c>
      <c r="D48" s="167">
        <v>12</v>
      </c>
      <c r="E48" s="39">
        <v>0</v>
      </c>
    </row>
    <row r="49" spans="2:11" x14ac:dyDescent="0.25">
      <c r="B49" s="93" t="s">
        <v>60</v>
      </c>
      <c r="C49" s="167">
        <v>768</v>
      </c>
      <c r="D49" s="167">
        <v>511</v>
      </c>
      <c r="E49" s="140">
        <f>Mvalloc!D11</f>
        <v>676</v>
      </c>
    </row>
    <row r="50" spans="2:11" x14ac:dyDescent="0.25">
      <c r="B50" s="93" t="s">
        <v>61</v>
      </c>
      <c r="C50" s="167">
        <v>10</v>
      </c>
      <c r="D50" s="167">
        <v>10</v>
      </c>
      <c r="E50" s="140">
        <f>Mvalloc!E11</f>
        <v>12</v>
      </c>
    </row>
    <row r="51" spans="2:11" x14ac:dyDescent="0.25">
      <c r="B51" s="102" t="s">
        <v>126</v>
      </c>
      <c r="C51" s="167">
        <v>0</v>
      </c>
      <c r="D51" s="167">
        <v>12</v>
      </c>
      <c r="E51" s="140">
        <f>Mvalloc!F11</f>
        <v>10</v>
      </c>
      <c r="G51" s="770" t="str">
        <f>CONCATENATE("Desired Carryover Into ",E1+1,"")</f>
        <v>Desired Carryover Into 2027</v>
      </c>
      <c r="H51" s="754"/>
      <c r="I51" s="754"/>
      <c r="J51" s="755"/>
    </row>
    <row r="52" spans="2:11" x14ac:dyDescent="0.25">
      <c r="B52" s="509" t="s">
        <v>524</v>
      </c>
      <c r="C52" s="167">
        <v>31</v>
      </c>
      <c r="D52" s="167">
        <v>45</v>
      </c>
      <c r="E52" s="140">
        <f>Mvalloc!G11</f>
        <v>54</v>
      </c>
      <c r="G52" s="384"/>
      <c r="H52" s="385"/>
      <c r="I52" s="386"/>
      <c r="J52" s="387"/>
    </row>
    <row r="53" spans="2:11" x14ac:dyDescent="0.25">
      <c r="B53" s="509" t="s">
        <v>525</v>
      </c>
      <c r="C53" s="167"/>
      <c r="D53" s="167"/>
      <c r="E53" s="140">
        <f>Mvalloc!H11</f>
        <v>0</v>
      </c>
      <c r="G53" s="388" t="s">
        <v>347</v>
      </c>
      <c r="H53" s="386"/>
      <c r="I53" s="386"/>
      <c r="J53" s="389">
        <v>0</v>
      </c>
    </row>
    <row r="54" spans="2:11" x14ac:dyDescent="0.25">
      <c r="B54" s="182"/>
      <c r="C54" s="167"/>
      <c r="D54" s="167"/>
      <c r="E54" s="39"/>
      <c r="G54" s="384" t="s">
        <v>348</v>
      </c>
      <c r="H54" s="385"/>
      <c r="I54" s="385"/>
      <c r="J54" s="390" t="str">
        <f>IF(J53=0,"",ROUND((J53+E80-G66)/inputOth!E7*1000,3)-G71)</f>
        <v/>
      </c>
    </row>
    <row r="55" spans="2:11" x14ac:dyDescent="0.25">
      <c r="B55" s="182"/>
      <c r="C55" s="167"/>
      <c r="D55" s="167"/>
      <c r="E55" s="39"/>
      <c r="G55" s="391" t="str">
        <f>CONCATENATE("",E1," Tot Exp/Non-Appr Must Be:")</f>
        <v>2026 Tot Exp/Non-Appr Must Be:</v>
      </c>
      <c r="H55" s="392"/>
      <c r="I55" s="393"/>
      <c r="J55" s="394">
        <f>IF(J53&gt;0,IF(E77&lt;E62,IF(J53=G66,E77,((J53-G66)*(1-D79))+E62),E77+(J53-G66)),0)</f>
        <v>0</v>
      </c>
    </row>
    <row r="56" spans="2:11" x14ac:dyDescent="0.25">
      <c r="B56" s="182"/>
      <c r="C56" s="167"/>
      <c r="D56" s="167"/>
      <c r="E56" s="39"/>
      <c r="G56" s="395" t="s">
        <v>421</v>
      </c>
      <c r="H56" s="396"/>
      <c r="I56" s="396"/>
      <c r="J56" s="397">
        <f>IF(J53&gt;0,J55-E77,0)</f>
        <v>0</v>
      </c>
    </row>
    <row r="57" spans="2:11" x14ac:dyDescent="0.35">
      <c r="B57" s="171" t="s">
        <v>63</v>
      </c>
      <c r="C57" s="167">
        <v>706</v>
      </c>
      <c r="D57" s="167">
        <v>746</v>
      </c>
      <c r="E57" s="39">
        <v>723</v>
      </c>
      <c r="J57" s="2"/>
    </row>
    <row r="58" spans="2:11" x14ac:dyDescent="0.25">
      <c r="B58" s="183" t="s">
        <v>8</v>
      </c>
      <c r="C58" s="167">
        <v>-364</v>
      </c>
      <c r="D58" s="167">
        <v>-274</v>
      </c>
      <c r="E58" s="140">
        <f>'NR Rebate20'!E10*-1</f>
        <v>-379</v>
      </c>
      <c r="G58" s="770" t="str">
        <f>CONCATENATE("Projected Carryover Into ",E1+1,"")</f>
        <v>Projected Carryover Into 2027</v>
      </c>
      <c r="H58" s="775"/>
      <c r="I58" s="775"/>
      <c r="J58" s="772"/>
    </row>
    <row r="59" spans="2:11" x14ac:dyDescent="0.25">
      <c r="B59" s="102" t="s">
        <v>9</v>
      </c>
      <c r="C59" s="167"/>
      <c r="D59" s="167"/>
      <c r="E59" s="39"/>
      <c r="G59" s="398"/>
      <c r="H59" s="385"/>
      <c r="I59" s="385"/>
      <c r="J59" s="405"/>
    </row>
    <row r="60" spans="2:11" x14ac:dyDescent="0.25">
      <c r="B60" s="162" t="s">
        <v>350</v>
      </c>
      <c r="C60" s="172" t="str">
        <f>IF(C61*0.1&lt;C59,"Exceed 10% Rule","")</f>
        <v/>
      </c>
      <c r="D60" s="172" t="str">
        <f>IF(D61*0.1&lt;D59,"Exceed 10% Rule","")</f>
        <v/>
      </c>
      <c r="E60" s="204" t="str">
        <f>IF(E61*0.1+E80&lt;E59,"Exceed 10% Rule","")</f>
        <v/>
      </c>
      <c r="G60" s="400">
        <f>D74</f>
        <v>3514</v>
      </c>
      <c r="H60" s="378" t="str">
        <f>CONCATENATE("",E1-1," Ending Cash Balance (est.)")</f>
        <v>2025 Ending Cash Balance (est.)</v>
      </c>
      <c r="I60" s="401"/>
      <c r="J60" s="405"/>
    </row>
    <row r="61" spans="2:11" x14ac:dyDescent="0.25">
      <c r="B61" s="174" t="s">
        <v>64</v>
      </c>
      <c r="C61" s="594">
        <f>SUM(C47:C59)</f>
        <v>6559</v>
      </c>
      <c r="D61" s="594">
        <f>SUM(D47:D59)</f>
        <v>8201</v>
      </c>
      <c r="E61" s="594">
        <f>SUM(E47:E59)</f>
        <v>1096</v>
      </c>
      <c r="G61" s="400">
        <f>E61</f>
        <v>1096</v>
      </c>
      <c r="H61" s="386" t="str">
        <f>CONCATENATE("",E1," Non-AV Receipts (est.)")</f>
        <v>2026 Non-AV Receipts (est.)</v>
      </c>
      <c r="I61" s="401"/>
      <c r="J61" s="405"/>
    </row>
    <row r="62" spans="2:11" x14ac:dyDescent="0.3">
      <c r="B62" s="174" t="s">
        <v>65</v>
      </c>
      <c r="C62" s="594">
        <f>C45+C61</f>
        <v>18905</v>
      </c>
      <c r="D62" s="594">
        <f>D45+D61</f>
        <v>20514</v>
      </c>
      <c r="E62" s="594">
        <f>E45+E61</f>
        <v>4610</v>
      </c>
      <c r="G62" s="402">
        <f>IF(D79&gt;0,E78,E80)</f>
        <v>15390</v>
      </c>
      <c r="H62" s="386" t="str">
        <f>CONCATENATE("",E1," Ad Valorem Tax (est.)")</f>
        <v>2026 Ad Valorem Tax (est.)</v>
      </c>
      <c r="I62" s="401"/>
      <c r="J62" s="405"/>
      <c r="K62" s="379" t="str">
        <f>IF(G62=E80,"","Note: Does not include Delinquent Taxes")</f>
        <v/>
      </c>
    </row>
    <row r="63" spans="2:11" x14ac:dyDescent="0.25">
      <c r="B63" s="93" t="s">
        <v>67</v>
      </c>
      <c r="C63" s="183"/>
      <c r="D63" s="183"/>
      <c r="E63" s="38"/>
      <c r="G63" s="404">
        <f>SUM(G60:G62)</f>
        <v>20000</v>
      </c>
      <c r="H63" s="386" t="str">
        <f>CONCATENATE("Total ",E1," Resources Available")</f>
        <v>Total 2026 Resources Available</v>
      </c>
      <c r="I63" s="405"/>
      <c r="J63" s="405"/>
    </row>
    <row r="64" spans="2:11" x14ac:dyDescent="0.25">
      <c r="B64" s="182" t="s">
        <v>1070</v>
      </c>
      <c r="C64" s="167">
        <v>6592</v>
      </c>
      <c r="D64" s="167">
        <v>17000</v>
      </c>
      <c r="E64" s="39">
        <v>17000</v>
      </c>
      <c r="G64" s="406"/>
      <c r="H64" s="407"/>
      <c r="I64" s="385"/>
      <c r="J64" s="405"/>
    </row>
    <row r="65" spans="2:10" x14ac:dyDescent="0.25">
      <c r="B65" s="182" t="s">
        <v>1071</v>
      </c>
      <c r="C65" s="167">
        <v>0</v>
      </c>
      <c r="D65" s="167">
        <v>0</v>
      </c>
      <c r="E65" s="39">
        <v>3000</v>
      </c>
      <c r="G65" s="408">
        <f>ROUND(C73*0.05+C73,0)</f>
        <v>6922</v>
      </c>
      <c r="H65" s="407" t="str">
        <f>CONCATENATE("Less ",E1-2," Expenditures + 5%")</f>
        <v>Less 2024 Expenditures + 5%</v>
      </c>
      <c r="I65" s="405"/>
      <c r="J65" s="405"/>
    </row>
    <row r="66" spans="2:10" x14ac:dyDescent="0.35">
      <c r="B66" s="182"/>
      <c r="C66" s="167"/>
      <c r="D66" s="167"/>
      <c r="E66" s="39"/>
      <c r="G66" s="409">
        <f>G63-G65</f>
        <v>13078</v>
      </c>
      <c r="H66" s="410" t="str">
        <f>CONCATENATE("Projected ",E1+1," carryover (est.)")</f>
        <v>Projected 2027 carryover (est.)</v>
      </c>
      <c r="I66" s="411"/>
      <c r="J66" s="412"/>
    </row>
    <row r="67" spans="2:10" x14ac:dyDescent="0.35">
      <c r="B67" s="182"/>
      <c r="C67" s="167"/>
      <c r="D67" s="167"/>
      <c r="E67" s="39"/>
      <c r="G67" s="2"/>
      <c r="H67" s="2"/>
      <c r="I67" s="2"/>
    </row>
    <row r="68" spans="2:10" x14ac:dyDescent="0.25">
      <c r="B68" s="182"/>
      <c r="C68" s="167"/>
      <c r="D68" s="167"/>
      <c r="E68" s="39"/>
      <c r="G68" s="756" t="s">
        <v>706</v>
      </c>
      <c r="H68" s="757"/>
      <c r="I68" s="757"/>
      <c r="J68" s="758"/>
    </row>
    <row r="69" spans="2:10" x14ac:dyDescent="0.25">
      <c r="B69" s="182"/>
      <c r="C69" s="167"/>
      <c r="D69" s="167"/>
      <c r="E69" s="39"/>
      <c r="G69" s="759"/>
      <c r="H69" s="760"/>
      <c r="I69" s="760"/>
      <c r="J69" s="761"/>
    </row>
    <row r="70" spans="2:10" x14ac:dyDescent="0.25">
      <c r="B70" s="183" t="str">
        <f>CONCATENATE("Cash Reserve (",E1," column)")</f>
        <v>Cash Reserve (2026 column)</v>
      </c>
      <c r="C70" s="167"/>
      <c r="D70" s="167"/>
      <c r="E70" s="39"/>
      <c r="G70" s="580">
        <f>'Budget Hearing Notice'!H19</f>
        <v>0.23599999999999999</v>
      </c>
      <c r="H70" s="378" t="str">
        <f>CONCATENATE("",E1," Estimated Fund Mill Rate")</f>
        <v>2026 Estimated Fund Mill Rate</v>
      </c>
      <c r="I70" s="581"/>
      <c r="J70" s="582"/>
    </row>
    <row r="71" spans="2:10" x14ac:dyDescent="0.25">
      <c r="B71" s="183" t="s">
        <v>9</v>
      </c>
      <c r="C71" s="167"/>
      <c r="D71" s="167"/>
      <c r="E71" s="39"/>
      <c r="G71" s="583">
        <f>'Budget Hearing Notice'!E18</f>
        <v>3.19</v>
      </c>
      <c r="H71" s="378" t="str">
        <f>CONCATENATE("",E1-1," Fund Mill Rate")</f>
        <v>2025 Fund Mill Rate</v>
      </c>
      <c r="I71" s="581"/>
      <c r="J71" s="582"/>
    </row>
    <row r="72" spans="2:10" x14ac:dyDescent="0.25">
      <c r="B72" s="183" t="s">
        <v>351</v>
      </c>
      <c r="C72" s="172" t="str">
        <f>IF(C73*0.1&lt;C71,"Exceed 10% Rule","")</f>
        <v/>
      </c>
      <c r="D72" s="172" t="str">
        <f>IF(D73*0.1&lt;D71,"Exceed 10% Rule","")</f>
        <v/>
      </c>
      <c r="E72" s="204" t="str">
        <f>IF(E73*0.1&lt;E71,"Exceed 10% Rule","")</f>
        <v/>
      </c>
      <c r="G72" s="584">
        <f>inputOth!D20</f>
        <v>33.582999999999998</v>
      </c>
      <c r="H72" s="585" t="s">
        <v>707</v>
      </c>
      <c r="I72" s="581"/>
      <c r="J72" s="582"/>
    </row>
    <row r="73" spans="2:10" x14ac:dyDescent="0.25">
      <c r="B73" s="174" t="s">
        <v>71</v>
      </c>
      <c r="C73" s="140">
        <f>SUM(C64:C71)</f>
        <v>6592</v>
      </c>
      <c r="D73" s="140">
        <f>SUM(D64:D71)</f>
        <v>17000</v>
      </c>
      <c r="E73" s="140">
        <f>SUM(E64:E71)</f>
        <v>20000</v>
      </c>
      <c r="G73" s="580">
        <f>'Budget Hearing Notice'!H52</f>
        <v>34.4</v>
      </c>
      <c r="H73" s="378" t="str">
        <f>CONCATENATE(E1," Estimated Total Mill Rate")</f>
        <v>2026 Estimated Total Mill Rate</v>
      </c>
      <c r="I73" s="581"/>
      <c r="J73" s="582"/>
    </row>
    <row r="74" spans="2:10" x14ac:dyDescent="0.25">
      <c r="B74" s="93" t="s">
        <v>134</v>
      </c>
      <c r="C74" s="140">
        <f>C62-C73</f>
        <v>12313</v>
      </c>
      <c r="D74" s="140">
        <f>D62-D73</f>
        <v>3514</v>
      </c>
      <c r="E74" s="192" t="s">
        <v>49</v>
      </c>
      <c r="G74" s="586">
        <f>'Budget Hearing Notice'!E52</f>
        <v>34.4</v>
      </c>
      <c r="H74" s="378" t="str">
        <f>CONCATENATE(E1-1," Total Mill Rate")</f>
        <v>2025 Total Mill Rate</v>
      </c>
      <c r="I74" s="581"/>
      <c r="J74" s="582"/>
    </row>
    <row r="75" spans="2:10" x14ac:dyDescent="0.25">
      <c r="B75" s="108" t="str">
        <f>CONCATENATE("",E1-2,"/",E1-1,"/",E1," Budget Authority Amount:")</f>
        <v>2024/2025/2026 Budget Authority Amount:</v>
      </c>
      <c r="C75" s="447">
        <f>inputOth!B67</f>
        <v>10000</v>
      </c>
      <c r="D75" s="447">
        <f>inputPrYr!D23</f>
        <v>17032</v>
      </c>
      <c r="E75" s="140">
        <f>E73</f>
        <v>20000</v>
      </c>
      <c r="G75" s="398"/>
      <c r="H75" s="385"/>
      <c r="I75" s="385"/>
      <c r="J75" s="405"/>
    </row>
    <row r="76" spans="2:10" x14ac:dyDescent="0.25">
      <c r="B76" s="80"/>
      <c r="C76" s="749" t="s">
        <v>319</v>
      </c>
      <c r="D76" s="750"/>
      <c r="E76" s="39"/>
      <c r="G76" s="762" t="s">
        <v>708</v>
      </c>
      <c r="H76" s="763"/>
      <c r="I76" s="763"/>
      <c r="J76" s="766" t="str">
        <f>IF(G73&gt;G72, "Yes", "No")</f>
        <v>Yes</v>
      </c>
    </row>
    <row r="77" spans="2:10" x14ac:dyDescent="0.25">
      <c r="B77" s="331" t="str">
        <f>CONCATENATE(C101,"     ",D101)</f>
        <v xml:space="preserve">     </v>
      </c>
      <c r="C77" s="751" t="s">
        <v>320</v>
      </c>
      <c r="D77" s="752"/>
      <c r="E77" s="140">
        <f>E73+E76</f>
        <v>20000</v>
      </c>
      <c r="G77" s="764"/>
      <c r="H77" s="765"/>
      <c r="I77" s="765"/>
      <c r="J77" s="767"/>
    </row>
    <row r="78" spans="2:10" x14ac:dyDescent="0.25">
      <c r="B78" s="331" t="str">
        <f>CONCATENATE(C102,"     ",D102)</f>
        <v xml:space="preserve">     </v>
      </c>
      <c r="C78" s="185"/>
      <c r="D78" s="107" t="s">
        <v>72</v>
      </c>
      <c r="E78" s="140">
        <f>IF(E77-E62&gt;0,E77-E62,0)</f>
        <v>15390</v>
      </c>
      <c r="G78" s="768" t="str">
        <f>IF(J76="Yes", "Follow procedure prescribed by KSA 79-2988 to exceed the Revenue Neutral Rate.", " ")</f>
        <v>Follow procedure prescribed by KSA 79-2988 to exceed the Revenue Neutral Rate.</v>
      </c>
      <c r="H78" s="768"/>
      <c r="I78" s="768"/>
      <c r="J78" s="768"/>
    </row>
    <row r="79" spans="2:10" x14ac:dyDescent="0.25">
      <c r="B79" s="107"/>
      <c r="C79" s="257" t="s">
        <v>318</v>
      </c>
      <c r="D79" s="451">
        <f>inputOth!$E$50</f>
        <v>0</v>
      </c>
      <c r="E79" s="140">
        <f>ROUND(IF(D79&gt;0,(E78*D79),0),0)</f>
        <v>0</v>
      </c>
      <c r="G79" s="769"/>
      <c r="H79" s="769"/>
      <c r="I79" s="769"/>
      <c r="J79" s="769"/>
    </row>
    <row r="80" spans="2:10" ht="16" thickBot="1" x14ac:dyDescent="0.3">
      <c r="B80" s="28"/>
      <c r="C80" s="726" t="str">
        <f>CONCATENATE("Amount of  ",$E$1-1," Ad Valorem Tax")</f>
        <v>Amount of  2025 Ad Valorem Tax</v>
      </c>
      <c r="D80" s="753"/>
      <c r="E80" s="383">
        <f>E78+E79</f>
        <v>15390</v>
      </c>
      <c r="F80" s="184"/>
      <c r="G80" s="769"/>
      <c r="H80" s="769"/>
      <c r="I80" s="769"/>
      <c r="J80" s="769"/>
    </row>
    <row r="81" spans="2:6" ht="16" thickTop="1" x14ac:dyDescent="0.25">
      <c r="B81" s="28"/>
      <c r="C81" s="80"/>
      <c r="D81" s="28"/>
      <c r="E81" s="80"/>
      <c r="F81" s="452" t="str">
        <f>IF(E73/0.95-E73&lt;E76,"Exceeds 5%","")</f>
        <v/>
      </c>
    </row>
    <row r="82" spans="2:6" x14ac:dyDescent="0.25">
      <c r="B82" s="540" t="s">
        <v>535</v>
      </c>
      <c r="C82" s="524"/>
      <c r="D82" s="69"/>
      <c r="E82" s="525"/>
    </row>
    <row r="83" spans="2:6" x14ac:dyDescent="0.25">
      <c r="B83" s="398" t="s">
        <v>1194</v>
      </c>
      <c r="C83" s="80"/>
      <c r="D83" s="28"/>
      <c r="E83" s="526"/>
    </row>
    <row r="84" spans="2:6" x14ac:dyDescent="0.25">
      <c r="B84" s="515" t="s">
        <v>1193</v>
      </c>
      <c r="C84" s="527"/>
      <c r="D84" s="43"/>
      <c r="E84" s="528"/>
    </row>
    <row r="85" spans="2:6" x14ac:dyDescent="0.25">
      <c r="B85" s="28"/>
      <c r="C85" s="80"/>
      <c r="D85" s="28"/>
      <c r="E85" s="80"/>
    </row>
    <row r="86" spans="2:6" x14ac:dyDescent="0.25">
      <c r="B86" s="274" t="s">
        <v>74</v>
      </c>
      <c r="C86" s="465">
        <v>9</v>
      </c>
      <c r="D86" s="28"/>
      <c r="E86" s="28"/>
    </row>
    <row r="87" spans="2:6" x14ac:dyDescent="0.25">
      <c r="B87" s="24"/>
    </row>
    <row r="99" spans="3:4" hidden="1" x14ac:dyDescent="0.25">
      <c r="C99" s="330" t="str">
        <f>IF(C33&gt;C35,"See Tab A","")</f>
        <v/>
      </c>
      <c r="D99" s="330" t="str">
        <f>IF(D31&gt;D35,"See Tab C","")</f>
        <v/>
      </c>
    </row>
    <row r="100" spans="3:4" hidden="1" x14ac:dyDescent="0.25">
      <c r="C100" s="330" t="str">
        <f>IF(C34&lt;0,"See Tab B","")</f>
        <v/>
      </c>
      <c r="D100" s="330" t="str">
        <f>IF(D34&lt;0,"See Tab D","")</f>
        <v/>
      </c>
    </row>
    <row r="101" spans="3:4" hidden="1" x14ac:dyDescent="0.25">
      <c r="C101" s="330" t="str">
        <f>IF(C71&gt;C75,"See Tab A","")</f>
        <v/>
      </c>
      <c r="D101" s="330" t="str">
        <f>IF(D71&gt;D75,"See Tab C","")</f>
        <v/>
      </c>
    </row>
    <row r="102" spans="3:4" hidden="1" x14ac:dyDescent="0.25">
      <c r="C102" s="330" t="str">
        <f>IF(C74&lt;0,"See Tab B","")</f>
        <v/>
      </c>
      <c r="D102" s="330" t="str">
        <f>IF(D74&lt;0,"See Tab D","")</f>
        <v/>
      </c>
    </row>
  </sheetData>
  <mergeCells count="19">
    <mergeCell ref="C80:D80"/>
    <mergeCell ref="C40:D40"/>
    <mergeCell ref="C76:D76"/>
    <mergeCell ref="C77:D77"/>
    <mergeCell ref="G51:J51"/>
    <mergeCell ref="G58:J58"/>
    <mergeCell ref="G68:J69"/>
    <mergeCell ref="G76:I77"/>
    <mergeCell ref="J76:J77"/>
    <mergeCell ref="G78:J80"/>
    <mergeCell ref="C36:D36"/>
    <mergeCell ref="C37:D37"/>
    <mergeCell ref="C41:D41"/>
    <mergeCell ref="G8:J8"/>
    <mergeCell ref="G15:J15"/>
    <mergeCell ref="G26:J27"/>
    <mergeCell ref="G34:I35"/>
    <mergeCell ref="J34:J35"/>
    <mergeCell ref="G36:J38"/>
  </mergeCells>
  <phoneticPr fontId="0" type="noConversion"/>
  <conditionalFormatting sqref="C18">
    <cfRule type="cellIs" dxfId="297" priority="27" stopIfTrue="1" operator="greaterThan">
      <formula>$C$20*0.1</formula>
    </cfRule>
  </conditionalFormatting>
  <conditionalFormatting sqref="C31">
    <cfRule type="cellIs" dxfId="296" priority="17" stopIfTrue="1" operator="greaterThan">
      <formula>$C$33*0.1</formula>
    </cfRule>
  </conditionalFormatting>
  <conditionalFormatting sqref="C33">
    <cfRule type="expression" dxfId="295" priority="8">
      <formula>$C$33&gt;$C$35</formula>
    </cfRule>
  </conditionalFormatting>
  <conditionalFormatting sqref="C34">
    <cfRule type="expression" dxfId="294" priority="7">
      <formula>$C$34&lt;0</formula>
    </cfRule>
  </conditionalFormatting>
  <conditionalFormatting sqref="C59">
    <cfRule type="cellIs" dxfId="293" priority="29" stopIfTrue="1" operator="greaterThan">
      <formula>$C$61*0.1</formula>
    </cfRule>
  </conditionalFormatting>
  <conditionalFormatting sqref="C71">
    <cfRule type="cellIs" dxfId="292" priority="22" stopIfTrue="1" operator="greaterThan">
      <formula>$C$73*0.1</formula>
    </cfRule>
  </conditionalFormatting>
  <conditionalFormatting sqref="C73">
    <cfRule type="expression" dxfId="291" priority="4">
      <formula>$C$73&gt;$C$75</formula>
    </cfRule>
  </conditionalFormatting>
  <conditionalFormatting sqref="C74">
    <cfRule type="expression" dxfId="290" priority="3">
      <formula>$C$74&lt;0</formula>
    </cfRule>
  </conditionalFormatting>
  <conditionalFormatting sqref="D18">
    <cfRule type="cellIs" dxfId="289" priority="26" stopIfTrue="1" operator="greaterThan">
      <formula>$D$20*0.1</formula>
    </cfRule>
  </conditionalFormatting>
  <conditionalFormatting sqref="D31">
    <cfRule type="cellIs" dxfId="288" priority="18" stopIfTrue="1" operator="greaterThan">
      <formula>$D$33*0.1</formula>
    </cfRule>
  </conditionalFormatting>
  <conditionalFormatting sqref="D33">
    <cfRule type="expression" dxfId="287" priority="6">
      <formula>$D$33&gt;$D$35</formula>
    </cfRule>
  </conditionalFormatting>
  <conditionalFormatting sqref="D34">
    <cfRule type="expression" dxfId="286" priority="5">
      <formula>$D$34&lt;0</formula>
    </cfRule>
  </conditionalFormatting>
  <conditionalFormatting sqref="D59">
    <cfRule type="cellIs" dxfId="285" priority="28" stopIfTrue="1" operator="greaterThan">
      <formula>$D$61*0.1</formula>
    </cfRule>
  </conditionalFormatting>
  <conditionalFormatting sqref="D71">
    <cfRule type="cellIs" dxfId="284" priority="23" stopIfTrue="1" operator="greaterThan">
      <formula>$D$73*0.1</formula>
    </cfRule>
  </conditionalFormatting>
  <conditionalFormatting sqref="D73">
    <cfRule type="expression" dxfId="283" priority="2">
      <formula>$D$73&gt;$D$74</formula>
    </cfRule>
  </conditionalFormatting>
  <conditionalFormatting sqref="D74">
    <cfRule type="expression" dxfId="282" priority="1">
      <formula>$D$74&lt;0</formula>
    </cfRule>
  </conditionalFormatting>
  <conditionalFormatting sqref="E18">
    <cfRule type="cellIs" dxfId="281" priority="30" stopIfTrue="1" operator="greaterThan">
      <formula>$E$20*0.1+E40</formula>
    </cfRule>
  </conditionalFormatting>
  <conditionalFormatting sqref="E31">
    <cfRule type="cellIs" dxfId="280" priority="15" stopIfTrue="1" operator="greaterThan">
      <formula>$E$33*0.1</formula>
    </cfRule>
  </conditionalFormatting>
  <conditionalFormatting sqref="E36">
    <cfRule type="cellIs" dxfId="279" priority="16" stopIfTrue="1" operator="greaterThan">
      <formula>$E$33/0.95-$E$33</formula>
    </cfRule>
  </conditionalFormatting>
  <conditionalFormatting sqref="E59">
    <cfRule type="cellIs" dxfId="278" priority="31" stopIfTrue="1" operator="greaterThan">
      <formula>$E$61*0.1+E80</formula>
    </cfRule>
  </conditionalFormatting>
  <conditionalFormatting sqref="E71">
    <cfRule type="cellIs" dxfId="277" priority="13" stopIfTrue="1" operator="greaterThan">
      <formula>$E$73*0.1</formula>
    </cfRule>
  </conditionalFormatting>
  <conditionalFormatting sqref="E76">
    <cfRule type="cellIs" dxfId="276" priority="14" stopIfTrue="1" operator="greaterThan">
      <formula>$E$73/0.95-$E$73</formula>
    </cfRule>
  </conditionalFormatting>
  <conditionalFormatting sqref="J34">
    <cfRule type="containsText" dxfId="275" priority="10" operator="containsText" text="Yes">
      <formula>NOT(ISERROR(SEARCH("Yes",J34)))</formula>
    </cfRule>
  </conditionalFormatting>
  <conditionalFormatting sqref="J76">
    <cfRule type="containsText" dxfId="274" priority="9" operator="containsText" text="Yes">
      <formula>NOT(ISERROR(SEARCH("Yes",J76)))</formula>
    </cfRule>
  </conditionalFormatting>
  <pageMargins left="0.5" right="0.5" top="1" bottom="0.5" header="0.5" footer="0.5"/>
  <pageSetup scale="51" orientation="portrait" blackAndWhite="1"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DD571"/>
    <pageSetUpPr fitToPage="1"/>
  </sheetPr>
  <dimension ref="B1:K101"/>
  <sheetViews>
    <sheetView topLeftCell="A52" zoomScaleNormal="100" workbookViewId="0">
      <selection activeCell="O73" sqref="O73"/>
    </sheetView>
  </sheetViews>
  <sheetFormatPr defaultColWidth="8.9140625" defaultRowHeight="15.5" x14ac:dyDescent="0.25"/>
  <cols>
    <col min="1" max="1" width="2.4140625" style="26" customWidth="1"/>
    <col min="2" max="2" width="31.08203125" style="26" customWidth="1"/>
    <col min="3" max="4" width="15.75" style="26" customWidth="1"/>
    <col min="5" max="5" width="16.33203125" style="26" customWidth="1"/>
    <col min="6" max="6" width="8.9140625" style="26"/>
    <col min="7" max="7" width="10.25" style="26" customWidth="1"/>
    <col min="8" max="8" width="8.9140625" style="26"/>
    <col min="9" max="9" width="5.58203125" style="26" customWidth="1"/>
    <col min="10" max="10" width="10" style="26" customWidth="1"/>
    <col min="11" max="16384" width="8.9140625" style="26"/>
  </cols>
  <sheetData>
    <row r="1" spans="2:10" x14ac:dyDescent="0.25">
      <c r="B1" s="47" t="str">
        <f>(inputPrYr!D3)</f>
        <v>The City of Colby</v>
      </c>
      <c r="C1" s="28"/>
      <c r="D1" s="28"/>
      <c r="E1" s="80">
        <f>inputPrYr!C6</f>
        <v>2026</v>
      </c>
    </row>
    <row r="2" spans="2:10" x14ac:dyDescent="0.25">
      <c r="B2" s="28"/>
      <c r="C2" s="28"/>
      <c r="D2" s="28"/>
      <c r="E2" s="107"/>
    </row>
    <row r="3" spans="2:10" x14ac:dyDescent="0.25">
      <c r="B3" s="160" t="s">
        <v>119</v>
      </c>
      <c r="C3" s="115"/>
      <c r="D3" s="115"/>
      <c r="E3" s="132"/>
    </row>
    <row r="4" spans="2:10" x14ac:dyDescent="0.25">
      <c r="B4" s="29" t="s">
        <v>57</v>
      </c>
      <c r="C4" s="443" t="s">
        <v>475</v>
      </c>
      <c r="D4" s="444" t="s">
        <v>476</v>
      </c>
      <c r="E4" s="87" t="s">
        <v>477</v>
      </c>
    </row>
    <row r="5" spans="2:10" x14ac:dyDescent="0.25">
      <c r="B5" s="334" t="str">
        <f>inputPrYr!B24</f>
        <v>Special Fire/Police</v>
      </c>
      <c r="C5" s="137" t="str">
        <f>CONCATENATE("Actual for ",E1-2,"")</f>
        <v>Actual for 2024</v>
      </c>
      <c r="D5" s="137" t="str">
        <f>CONCATENATE("Estimate for ",E1-1,"")</f>
        <v>Estimate for 2025</v>
      </c>
      <c r="E5" s="122" t="str">
        <f>CONCATENATE("Year for ",E1,"")</f>
        <v>Year for 2026</v>
      </c>
    </row>
    <row r="6" spans="2:10" x14ac:dyDescent="0.25">
      <c r="B6" s="162" t="s">
        <v>133</v>
      </c>
      <c r="C6" s="167">
        <v>16508</v>
      </c>
      <c r="D6" s="165">
        <f>C34</f>
        <v>23465</v>
      </c>
      <c r="E6" s="140">
        <f>D34</f>
        <v>7634</v>
      </c>
    </row>
    <row r="7" spans="2:10" x14ac:dyDescent="0.25">
      <c r="B7" s="166" t="s">
        <v>135</v>
      </c>
      <c r="C7" s="165"/>
      <c r="D7" s="165"/>
      <c r="E7" s="140"/>
    </row>
    <row r="8" spans="2:10" x14ac:dyDescent="0.25">
      <c r="B8" s="93" t="s">
        <v>58</v>
      </c>
      <c r="C8" s="167">
        <v>47496</v>
      </c>
      <c r="D8" s="165">
        <f>IF(inputPrYr!H21&gt;0,inputPrYr!G28,inputPrYr!E24)</f>
        <v>49878</v>
      </c>
      <c r="E8" s="192" t="s">
        <v>49</v>
      </c>
    </row>
    <row r="9" spans="2:10" x14ac:dyDescent="0.25">
      <c r="B9" s="93" t="s">
        <v>59</v>
      </c>
      <c r="C9" s="167">
        <v>393</v>
      </c>
      <c r="D9" s="167">
        <v>100</v>
      </c>
      <c r="E9" s="39">
        <v>0</v>
      </c>
      <c r="G9" s="770" t="str">
        <f>CONCATENATE("Desired Carryover Into ",E1+1,"")</f>
        <v>Desired Carryover Into 2027</v>
      </c>
      <c r="H9" s="754"/>
      <c r="I9" s="754"/>
      <c r="J9" s="755"/>
    </row>
    <row r="10" spans="2:10" x14ac:dyDescent="0.25">
      <c r="B10" s="93" t="s">
        <v>60</v>
      </c>
      <c r="C10" s="167">
        <v>5191</v>
      </c>
      <c r="D10" s="167">
        <v>4558</v>
      </c>
      <c r="E10" s="140">
        <f>Mvalloc!D12</f>
        <v>4726</v>
      </c>
      <c r="G10" s="384"/>
      <c r="H10" s="385"/>
      <c r="I10" s="386"/>
      <c r="J10" s="387"/>
    </row>
    <row r="11" spans="2:10" x14ac:dyDescent="0.25">
      <c r="B11" s="93" t="s">
        <v>61</v>
      </c>
      <c r="C11" s="167">
        <v>61</v>
      </c>
      <c r="D11" s="167">
        <v>85</v>
      </c>
      <c r="E11" s="140">
        <f>Mvalloc!E12</f>
        <v>83</v>
      </c>
      <c r="G11" s="388" t="s">
        <v>347</v>
      </c>
      <c r="H11" s="386"/>
      <c r="I11" s="386"/>
      <c r="J11" s="389">
        <v>0</v>
      </c>
    </row>
    <row r="12" spans="2:10" x14ac:dyDescent="0.25">
      <c r="B12" s="102" t="s">
        <v>126</v>
      </c>
      <c r="C12" s="167">
        <v>104</v>
      </c>
      <c r="D12" s="167">
        <v>80</v>
      </c>
      <c r="E12" s="140">
        <f>Mvalloc!F12</f>
        <v>72</v>
      </c>
      <c r="G12" s="384" t="s">
        <v>348</v>
      </c>
      <c r="H12" s="385"/>
      <c r="I12" s="385"/>
      <c r="J12" s="390" t="str">
        <f>IF(J11=0,"",ROUND((J11+E40-G24)/inputOth!E7*1000,3)-G29)</f>
        <v/>
      </c>
    </row>
    <row r="13" spans="2:10" x14ac:dyDescent="0.25">
      <c r="B13" s="509" t="s">
        <v>524</v>
      </c>
      <c r="C13" s="167">
        <v>458</v>
      </c>
      <c r="D13" s="167">
        <v>393</v>
      </c>
      <c r="E13" s="140">
        <f>Mvalloc!G12</f>
        <v>380</v>
      </c>
      <c r="G13" s="391" t="str">
        <f>CONCATENATE("",E1," Tot Exp/Non-Appr Must Be:")</f>
        <v>2026 Tot Exp/Non-Appr Must Be:</v>
      </c>
      <c r="H13" s="392"/>
      <c r="I13" s="393"/>
      <c r="J13" s="394">
        <f>IF(J11&gt;0,IF(E37&lt;E22,IF(J11=G24,E37,((J11-G24)*(1-D39))+E22),E37+(J11-G24)),0)</f>
        <v>0</v>
      </c>
    </row>
    <row r="14" spans="2:10" x14ac:dyDescent="0.25">
      <c r="B14" s="509" t="s">
        <v>525</v>
      </c>
      <c r="C14" s="167"/>
      <c r="D14" s="167"/>
      <c r="E14" s="140">
        <f>Mvalloc!H12</f>
        <v>0</v>
      </c>
      <c r="G14" s="395" t="s">
        <v>421</v>
      </c>
      <c r="H14" s="396"/>
      <c r="I14" s="396"/>
      <c r="J14" s="397">
        <f>IF(J11&gt;0,J13-E37,0)</f>
        <v>0</v>
      </c>
    </row>
    <row r="15" spans="2:10" x14ac:dyDescent="0.35">
      <c r="B15" s="182" t="s">
        <v>1075</v>
      </c>
      <c r="C15" s="167">
        <v>65224</v>
      </c>
      <c r="D15" s="167">
        <v>26465</v>
      </c>
      <c r="E15" s="39">
        <v>50000</v>
      </c>
      <c r="J15" s="2"/>
    </row>
    <row r="16" spans="2:10" x14ac:dyDescent="0.25">
      <c r="B16" s="182"/>
      <c r="C16" s="167"/>
      <c r="D16" s="167"/>
      <c r="E16" s="39"/>
      <c r="G16" s="770" t="str">
        <f>CONCATENATE("Projected Carryover Into ",E1+1,"")</f>
        <v>Projected Carryover Into 2027</v>
      </c>
      <c r="H16" s="771"/>
      <c r="I16" s="771"/>
      <c r="J16" s="772"/>
    </row>
    <row r="17" spans="2:11" x14ac:dyDescent="0.35">
      <c r="B17" s="171" t="s">
        <v>63</v>
      </c>
      <c r="C17" s="167">
        <v>1851</v>
      </c>
      <c r="D17" s="167">
        <v>2230</v>
      </c>
      <c r="E17" s="39">
        <v>2539</v>
      </c>
      <c r="G17" s="384"/>
      <c r="H17" s="386"/>
      <c r="I17" s="386"/>
      <c r="J17" s="399"/>
    </row>
    <row r="18" spans="2:11" x14ac:dyDescent="0.35">
      <c r="B18" s="183" t="s">
        <v>8</v>
      </c>
      <c r="C18" s="167">
        <v>-3224</v>
      </c>
      <c r="D18" s="167">
        <v>-1904</v>
      </c>
      <c r="E18" s="140">
        <f>'NR Rebate20'!E11*-1</f>
        <v>-3966</v>
      </c>
      <c r="G18" s="400">
        <f>D34</f>
        <v>7634</v>
      </c>
      <c r="H18" s="378" t="str">
        <f>CONCATENATE("",E1-1," Ending Cash Balance (est.)")</f>
        <v>2025 Ending Cash Balance (est.)</v>
      </c>
      <c r="I18" s="401"/>
      <c r="J18" s="399"/>
    </row>
    <row r="19" spans="2:11" x14ac:dyDescent="0.35">
      <c r="B19" s="102" t="s">
        <v>9</v>
      </c>
      <c r="C19" s="167"/>
      <c r="D19" s="167"/>
      <c r="E19" s="39"/>
      <c r="G19" s="400">
        <f>E21</f>
        <v>53834</v>
      </c>
      <c r="H19" s="386" t="str">
        <f>CONCATENATE("",E1," Non-AV Receipts (est.)")</f>
        <v>2026 Non-AV Receipts (est.)</v>
      </c>
      <c r="I19" s="401"/>
      <c r="J19" s="399"/>
    </row>
    <row r="20" spans="2:11" x14ac:dyDescent="0.3">
      <c r="B20" s="162" t="s">
        <v>350</v>
      </c>
      <c r="C20" s="172" t="str">
        <f>IF(C21*0.1&lt;C19,"Exceed 10% Rule","")</f>
        <v/>
      </c>
      <c r="D20" s="172" t="str">
        <f>IF(D21*0.1&lt;D19,"Exceed 10% Rule","")</f>
        <v/>
      </c>
      <c r="E20" s="204" t="str">
        <f>IF(E21*0.1+E40&lt;E19,"Exceed 10% Rule","")</f>
        <v/>
      </c>
      <c r="G20" s="402">
        <f>IF(E39&gt;0,E38,E40)</f>
        <v>129732</v>
      </c>
      <c r="H20" s="386" t="str">
        <f>CONCATENATE("",E1," Ad Valorem Tax (est.)")</f>
        <v>2026 Ad Valorem Tax (est.)</v>
      </c>
      <c r="I20" s="401"/>
      <c r="J20" s="380"/>
      <c r="K20" s="379" t="str">
        <f>IF(G20=E40,"","Note: Does not include Delinquent Taxes")</f>
        <v/>
      </c>
    </row>
    <row r="21" spans="2:11" x14ac:dyDescent="0.35">
      <c r="B21" s="174" t="s">
        <v>64</v>
      </c>
      <c r="C21" s="594">
        <f>SUM(C8:C19)</f>
        <v>117554</v>
      </c>
      <c r="D21" s="594">
        <f>SUM(D8:D19)</f>
        <v>81885</v>
      </c>
      <c r="E21" s="594">
        <f>SUM(E8:E19)</f>
        <v>53834</v>
      </c>
      <c r="G21" s="400">
        <f>SUM(G18:G20)</f>
        <v>191200</v>
      </c>
      <c r="H21" s="386" t="str">
        <f>CONCATENATE("Total ",E1," Resources Available")</f>
        <v>Total 2026 Resources Available</v>
      </c>
      <c r="I21" s="401"/>
      <c r="J21" s="399"/>
    </row>
    <row r="22" spans="2:11" x14ac:dyDescent="0.35">
      <c r="B22" s="174" t="s">
        <v>65</v>
      </c>
      <c r="C22" s="594">
        <f>C6+C21</f>
        <v>134062</v>
      </c>
      <c r="D22" s="594">
        <f>D6+D21</f>
        <v>105350</v>
      </c>
      <c r="E22" s="594">
        <f>E6+E21</f>
        <v>61468</v>
      </c>
      <c r="G22" s="436"/>
      <c r="H22" s="386"/>
      <c r="I22" s="386"/>
      <c r="J22" s="399"/>
    </row>
    <row r="23" spans="2:11" x14ac:dyDescent="0.35">
      <c r="B23" s="93" t="s">
        <v>67</v>
      </c>
      <c r="C23" s="183"/>
      <c r="D23" s="183"/>
      <c r="E23" s="38"/>
      <c r="G23" s="402">
        <f>ROUND(C33*0.05+C33,0)</f>
        <v>116127</v>
      </c>
      <c r="H23" s="386" t="str">
        <f>CONCATENATE("Less ",E1-2," Expenditures + 5%")</f>
        <v>Less 2024 Expenditures + 5%</v>
      </c>
      <c r="I23" s="401"/>
      <c r="J23" s="399"/>
    </row>
    <row r="24" spans="2:11" x14ac:dyDescent="0.35">
      <c r="B24" s="196" t="s">
        <v>1076</v>
      </c>
      <c r="C24" s="167">
        <v>0</v>
      </c>
      <c r="D24" s="167">
        <v>6051</v>
      </c>
      <c r="E24" s="61">
        <v>6000</v>
      </c>
      <c r="F24" s="195"/>
      <c r="G24" s="437">
        <f>G21-G23</f>
        <v>75073</v>
      </c>
      <c r="H24" s="438" t="str">
        <f>CONCATENATE("Projected ",E1+1," carryover (est.)")</f>
        <v>Projected 2027 carryover (est.)</v>
      </c>
      <c r="I24" s="439"/>
      <c r="J24" s="412"/>
    </row>
    <row r="25" spans="2:11" x14ac:dyDescent="0.35">
      <c r="B25" s="196" t="s">
        <v>1077</v>
      </c>
      <c r="C25" s="167">
        <v>29274</v>
      </c>
      <c r="D25" s="167"/>
      <c r="E25" s="61"/>
      <c r="G25" s="2"/>
      <c r="H25" s="2"/>
      <c r="I25" s="2"/>
      <c r="J25" s="2"/>
    </row>
    <row r="26" spans="2:11" x14ac:dyDescent="0.25">
      <c r="B26" s="196" t="s">
        <v>1078</v>
      </c>
      <c r="C26" s="167">
        <v>37106</v>
      </c>
      <c r="D26" s="167">
        <v>26465</v>
      </c>
      <c r="E26" s="61">
        <v>50000</v>
      </c>
      <c r="G26" s="756" t="s">
        <v>706</v>
      </c>
      <c r="H26" s="757"/>
      <c r="I26" s="757"/>
      <c r="J26" s="758"/>
    </row>
    <row r="27" spans="2:11" x14ac:dyDescent="0.25">
      <c r="B27" s="196" t="s">
        <v>1079</v>
      </c>
      <c r="C27" s="167">
        <v>10717</v>
      </c>
      <c r="D27" s="167">
        <v>15200</v>
      </c>
      <c r="E27" s="39">
        <v>15200</v>
      </c>
      <c r="G27" s="759"/>
      <c r="H27" s="760"/>
      <c r="I27" s="760"/>
      <c r="J27" s="761"/>
    </row>
    <row r="28" spans="2:11" x14ac:dyDescent="0.25">
      <c r="B28" s="182" t="s">
        <v>1080</v>
      </c>
      <c r="C28" s="167">
        <v>33500</v>
      </c>
      <c r="D28" s="167">
        <v>50000</v>
      </c>
      <c r="E28" s="39">
        <v>120000</v>
      </c>
      <c r="G28" s="580">
        <f>'Budget Hearing Notice'!H20</f>
        <v>1.986</v>
      </c>
      <c r="H28" s="378" t="str">
        <f>CONCATENATE("",E1," Estimated Fund Mill Rate")</f>
        <v>2026 Estimated Fund Mill Rate</v>
      </c>
      <c r="I28" s="581"/>
      <c r="J28" s="582"/>
    </row>
    <row r="29" spans="2:11" x14ac:dyDescent="0.25">
      <c r="B29" s="182"/>
      <c r="C29" s="167"/>
      <c r="D29" s="167"/>
      <c r="E29" s="39"/>
      <c r="G29" s="583">
        <f>'Budget Hearing Notice'!E19</f>
        <v>0.11799999999999999</v>
      </c>
      <c r="H29" s="378" t="str">
        <f>CONCATENATE("",E1-1," Fund Mill Rate")</f>
        <v>2025 Fund Mill Rate</v>
      </c>
      <c r="I29" s="581"/>
      <c r="J29" s="582"/>
    </row>
    <row r="30" spans="2:11" x14ac:dyDescent="0.25">
      <c r="B30" s="183" t="str">
        <f>CONCATENATE("Cash Reserve (",E1," column)")</f>
        <v>Cash Reserve (2026 column)</v>
      </c>
      <c r="C30" s="167"/>
      <c r="D30" s="167"/>
      <c r="E30" s="39"/>
      <c r="G30" s="584">
        <f>inputOth!D20</f>
        <v>33.582999999999998</v>
      </c>
      <c r="H30" s="585" t="s">
        <v>707</v>
      </c>
      <c r="I30" s="581"/>
      <c r="J30" s="582"/>
    </row>
    <row r="31" spans="2:11" x14ac:dyDescent="0.25">
      <c r="B31" s="183" t="s">
        <v>9</v>
      </c>
      <c r="C31" s="167"/>
      <c r="D31" s="167"/>
      <c r="E31" s="39"/>
      <c r="G31" s="580">
        <f>'Budget Hearing Notice'!H52</f>
        <v>34.4</v>
      </c>
      <c r="H31" s="378" t="str">
        <f>CONCATENATE(E1," Estimated Total Mill Rate")</f>
        <v>2026 Estimated Total Mill Rate</v>
      </c>
      <c r="I31" s="581"/>
      <c r="J31" s="582"/>
    </row>
    <row r="32" spans="2:11" x14ac:dyDescent="0.25">
      <c r="B32" s="183" t="s">
        <v>351</v>
      </c>
      <c r="C32" s="172" t="str">
        <f>IF(C33*0.1&lt;C31,"Exceed 10% Rule","")</f>
        <v/>
      </c>
      <c r="D32" s="172" t="str">
        <f>IF(D33*0.1&lt;D31,"Exceed 10% Rule","")</f>
        <v/>
      </c>
      <c r="E32" s="204" t="str">
        <f>IF(E33*0.1&lt;E31,"Exceed 10% Rule","")</f>
        <v/>
      </c>
      <c r="G32" s="586">
        <f>'Budget Hearing Notice'!E52</f>
        <v>34.4</v>
      </c>
      <c r="H32" s="378" t="str">
        <f>CONCATENATE(E1-1," Total Mill Rate")</f>
        <v>2025 Total Mill Rate</v>
      </c>
      <c r="I32" s="581"/>
      <c r="J32" s="582"/>
    </row>
    <row r="33" spans="2:10" x14ac:dyDescent="0.25">
      <c r="B33" s="174" t="s">
        <v>71</v>
      </c>
      <c r="C33" s="594">
        <f>SUM(C24:C31)</f>
        <v>110597</v>
      </c>
      <c r="D33" s="594">
        <f>SUM(D24:D31)</f>
        <v>97716</v>
      </c>
      <c r="E33" s="594">
        <f>SUM(E24:E31)</f>
        <v>191200</v>
      </c>
      <c r="G33" s="398"/>
      <c r="H33" s="385"/>
      <c r="I33" s="385"/>
      <c r="J33" s="405"/>
    </row>
    <row r="34" spans="2:10" x14ac:dyDescent="0.25">
      <c r="B34" s="93" t="s">
        <v>134</v>
      </c>
      <c r="C34" s="140">
        <f>C22-C33</f>
        <v>23465</v>
      </c>
      <c r="D34" s="140">
        <f>D22-D33</f>
        <v>7634</v>
      </c>
      <c r="E34" s="192" t="s">
        <v>49</v>
      </c>
      <c r="G34" s="762" t="s">
        <v>708</v>
      </c>
      <c r="H34" s="763"/>
      <c r="I34" s="763"/>
      <c r="J34" s="766" t="str">
        <f>IF(G31&gt;G30, "Yes", "No")</f>
        <v>Yes</v>
      </c>
    </row>
    <row r="35" spans="2:10" x14ac:dyDescent="0.25">
      <c r="B35" s="108" t="str">
        <f>CONCATENATE("",E1-2,"/",E1-1,"/",E1," Budget Authority Amount:")</f>
        <v>2024/2025/2026 Budget Authority Amount:</v>
      </c>
      <c r="C35" s="447">
        <f>inputOth!B68</f>
        <v>121594</v>
      </c>
      <c r="D35" s="447">
        <f>inputPrYr!D24</f>
        <v>121200</v>
      </c>
      <c r="E35" s="140">
        <f>E33</f>
        <v>191200</v>
      </c>
      <c r="G35" s="764"/>
      <c r="H35" s="765"/>
      <c r="I35" s="765"/>
      <c r="J35" s="767"/>
    </row>
    <row r="36" spans="2:10" x14ac:dyDescent="0.25">
      <c r="B36" s="80"/>
      <c r="C36" s="749" t="s">
        <v>319</v>
      </c>
      <c r="D36" s="750"/>
      <c r="E36" s="39"/>
      <c r="G36" s="768" t="str">
        <f>IF(J34="Yes", "Follow procedure prescribed by KSA 79-2988 to exceed the Revenue Neutral Rate.", " ")</f>
        <v>Follow procedure prescribed by KSA 79-2988 to exceed the Revenue Neutral Rate.</v>
      </c>
      <c r="H36" s="768"/>
      <c r="I36" s="768"/>
      <c r="J36" s="768"/>
    </row>
    <row r="37" spans="2:10" x14ac:dyDescent="0.25">
      <c r="B37" s="331" t="str">
        <f>CONCATENATE(C97,"     ",D97)</f>
        <v xml:space="preserve">     </v>
      </c>
      <c r="C37" s="751" t="s">
        <v>320</v>
      </c>
      <c r="D37" s="752"/>
      <c r="E37" s="140">
        <f>E33+E36</f>
        <v>191200</v>
      </c>
      <c r="F37" s="184"/>
      <c r="G37" s="769"/>
      <c r="H37" s="769"/>
      <c r="I37" s="769"/>
      <c r="J37" s="769"/>
    </row>
    <row r="38" spans="2:10" x14ac:dyDescent="0.25">
      <c r="B38" s="331" t="str">
        <f>CONCATENATE(C98,"     ",D98)</f>
        <v xml:space="preserve">     </v>
      </c>
      <c r="C38" s="185"/>
      <c r="D38" s="107" t="s">
        <v>72</v>
      </c>
      <c r="E38" s="140">
        <f>IF(E37-E22&gt;0,E37-E22,0)</f>
        <v>129732</v>
      </c>
      <c r="F38" s="452" t="str">
        <f>IF(E33/0.95-E33&lt;E36,"Exceeds 5%","")</f>
        <v/>
      </c>
      <c r="G38" s="769"/>
      <c r="H38" s="769"/>
      <c r="I38" s="769"/>
      <c r="J38" s="769"/>
    </row>
    <row r="39" spans="2:10" x14ac:dyDescent="0.25">
      <c r="B39" s="107"/>
      <c r="C39" s="257" t="s">
        <v>318</v>
      </c>
      <c r="D39" s="451">
        <f>inputOth!$E$50</f>
        <v>0</v>
      </c>
      <c r="E39" s="140">
        <f>ROUND(IF(D39&gt;0,(E38*D39),0),0)</f>
        <v>0</v>
      </c>
    </row>
    <row r="40" spans="2:10" ht="16" thickBot="1" x14ac:dyDescent="0.3">
      <c r="B40" s="107"/>
      <c r="C40" s="726" t="str">
        <f>CONCATENATE("Amount of  ",$E$1-1," Ad Valorem Tax")</f>
        <v>Amount of  2025 Ad Valorem Tax</v>
      </c>
      <c r="D40" s="753"/>
      <c r="E40" s="383">
        <f>E38+E39</f>
        <v>129732</v>
      </c>
    </row>
    <row r="41" spans="2:10" ht="16" thickTop="1" x14ac:dyDescent="0.25">
      <c r="B41" s="28"/>
      <c r="C41" s="726"/>
      <c r="D41" s="753"/>
      <c r="E41" s="28"/>
    </row>
    <row r="42" spans="2:10" x14ac:dyDescent="0.25">
      <c r="B42" s="29"/>
      <c r="C42" s="194"/>
      <c r="D42" s="194"/>
      <c r="E42" s="194"/>
    </row>
    <row r="43" spans="2:10" x14ac:dyDescent="0.25">
      <c r="B43" s="29" t="s">
        <v>57</v>
      </c>
      <c r="C43" s="443" t="s">
        <v>475</v>
      </c>
      <c r="D43" s="444" t="s">
        <v>476</v>
      </c>
      <c r="E43" s="87" t="s">
        <v>477</v>
      </c>
    </row>
    <row r="44" spans="2:10" x14ac:dyDescent="0.25">
      <c r="B44" s="334" t="str">
        <f>inputPrYr!B25</f>
        <v>Special Liability</v>
      </c>
      <c r="C44" s="137" t="str">
        <f>CONCATENATE("Actual for ",E1-2,"")</f>
        <v>Actual for 2024</v>
      </c>
      <c r="D44" s="137" t="str">
        <f>CONCATENATE("Estimate for ",E1-1,"")</f>
        <v>Estimate for 2025</v>
      </c>
      <c r="E44" s="122" t="str">
        <f>CONCATENATE("Year for ",E1,"")</f>
        <v>Year for 2026</v>
      </c>
    </row>
    <row r="45" spans="2:10" x14ac:dyDescent="0.25">
      <c r="B45" s="162" t="s">
        <v>133</v>
      </c>
      <c r="C45" s="167">
        <v>10969</v>
      </c>
      <c r="D45" s="165">
        <f>C73</f>
        <v>1347</v>
      </c>
      <c r="E45" s="140">
        <f>D73</f>
        <v>16718</v>
      </c>
    </row>
    <row r="46" spans="2:10" x14ac:dyDescent="0.25">
      <c r="B46" s="166" t="s">
        <v>135</v>
      </c>
      <c r="C46" s="102"/>
      <c r="D46" s="102"/>
      <c r="E46" s="52"/>
    </row>
    <row r="47" spans="2:10" x14ac:dyDescent="0.25">
      <c r="B47" s="93" t="s">
        <v>58</v>
      </c>
      <c r="C47" s="167">
        <v>27696</v>
      </c>
      <c r="D47" s="165">
        <f>IF(inputPrYr!H21&gt;0,inputPrYr!G29,inputPrYr!E25)</f>
        <v>58569</v>
      </c>
      <c r="E47" s="192" t="s">
        <v>49</v>
      </c>
    </row>
    <row r="48" spans="2:10" x14ac:dyDescent="0.25">
      <c r="B48" s="93" t="s">
        <v>59</v>
      </c>
      <c r="C48" s="167">
        <v>289</v>
      </c>
      <c r="D48" s="167">
        <v>60</v>
      </c>
      <c r="E48" s="39">
        <v>0</v>
      </c>
    </row>
    <row r="49" spans="2:11" x14ac:dyDescent="0.25">
      <c r="B49" s="93" t="s">
        <v>60</v>
      </c>
      <c r="C49" s="167">
        <v>4357</v>
      </c>
      <c r="D49" s="167">
        <v>2660</v>
      </c>
      <c r="E49" s="140">
        <f>Mvalloc!D13</f>
        <v>5550</v>
      </c>
    </row>
    <row r="50" spans="2:11" x14ac:dyDescent="0.25">
      <c r="B50" s="93" t="s">
        <v>61</v>
      </c>
      <c r="C50" s="167">
        <v>53</v>
      </c>
      <c r="D50" s="167">
        <v>50</v>
      </c>
      <c r="E50" s="140">
        <f>Mvalloc!E13</f>
        <v>98</v>
      </c>
    </row>
    <row r="51" spans="2:11" x14ac:dyDescent="0.25">
      <c r="B51" s="102" t="s">
        <v>126</v>
      </c>
      <c r="C51" s="167">
        <v>59</v>
      </c>
      <c r="D51" s="167">
        <v>59</v>
      </c>
      <c r="E51" s="140">
        <f>Mvalloc!F13</f>
        <v>85</v>
      </c>
      <c r="G51" s="770" t="str">
        <f>CONCATENATE("Desired Carryover Into ",E1+1,"")</f>
        <v>Desired Carryover Into 2027</v>
      </c>
      <c r="H51" s="754"/>
      <c r="I51" s="754"/>
      <c r="J51" s="755"/>
    </row>
    <row r="52" spans="2:11" x14ac:dyDescent="0.25">
      <c r="B52" s="509" t="s">
        <v>524</v>
      </c>
      <c r="C52" s="167">
        <v>317</v>
      </c>
      <c r="D52" s="167">
        <v>229</v>
      </c>
      <c r="E52" s="140">
        <f>Mvalloc!G13</f>
        <v>446</v>
      </c>
      <c r="G52" s="384"/>
      <c r="H52" s="385"/>
      <c r="I52" s="386"/>
      <c r="J52" s="387"/>
    </row>
    <row r="53" spans="2:11" x14ac:dyDescent="0.25">
      <c r="B53" s="509" t="s">
        <v>525</v>
      </c>
      <c r="C53" s="167"/>
      <c r="D53" s="167"/>
      <c r="E53" s="140">
        <f>Mvalloc!H13</f>
        <v>0</v>
      </c>
      <c r="G53" s="388" t="s">
        <v>347</v>
      </c>
      <c r="H53" s="386"/>
      <c r="I53" s="386"/>
      <c r="J53" s="389">
        <v>0</v>
      </c>
    </row>
    <row r="54" spans="2:11" x14ac:dyDescent="0.25">
      <c r="B54" s="39"/>
      <c r="C54" s="167"/>
      <c r="D54" s="167"/>
      <c r="E54" s="39"/>
      <c r="G54" s="384" t="s">
        <v>348</v>
      </c>
      <c r="H54" s="385"/>
      <c r="I54" s="385"/>
      <c r="J54" s="390" t="str">
        <f>IF(J53=0,"",ROUND((J53+E79-G66)/inputOth!E7*1000,3)-G71)</f>
        <v/>
      </c>
    </row>
    <row r="55" spans="2:11" x14ac:dyDescent="0.25">
      <c r="B55" s="182" t="s">
        <v>1072</v>
      </c>
      <c r="C55" s="167">
        <v>5738</v>
      </c>
      <c r="D55" s="167">
        <v>6004</v>
      </c>
      <c r="E55" s="39">
        <v>0</v>
      </c>
      <c r="G55" s="391" t="str">
        <f>CONCATENATE("",E1," Tot Exp/Non-Appr Must Be:")</f>
        <v>2026 Tot Exp/Non-Appr Must Be:</v>
      </c>
      <c r="H55" s="392"/>
      <c r="I55" s="393"/>
      <c r="J55" s="394">
        <f>IF(J53&gt;0,IF(E76&lt;E61,IF(J53=G66,E76,((J53-G66)*(1-D78))+E61),E76+(J53-G66)),0)</f>
        <v>0</v>
      </c>
    </row>
    <row r="56" spans="2:11" x14ac:dyDescent="0.25">
      <c r="B56" s="171" t="s">
        <v>63</v>
      </c>
      <c r="C56" s="167">
        <v>2008</v>
      </c>
      <c r="D56" s="167">
        <v>444</v>
      </c>
      <c r="E56" s="39">
        <v>69</v>
      </c>
      <c r="G56" s="395" t="s">
        <v>421</v>
      </c>
      <c r="H56" s="396"/>
      <c r="I56" s="396"/>
      <c r="J56" s="397">
        <f>IF(J53&gt;0,J55-E76,0)</f>
        <v>0</v>
      </c>
    </row>
    <row r="57" spans="2:11" x14ac:dyDescent="0.35">
      <c r="B57" s="183" t="s">
        <v>8</v>
      </c>
      <c r="C57" s="167">
        <v>-1880</v>
      </c>
      <c r="D57" s="167">
        <v>-2236</v>
      </c>
      <c r="E57" s="140">
        <f>'NR Rebate20'!E12*-1</f>
        <v>-1200</v>
      </c>
      <c r="J57" s="2"/>
    </row>
    <row r="58" spans="2:11" x14ac:dyDescent="0.25">
      <c r="B58" s="102" t="s">
        <v>9</v>
      </c>
      <c r="C58" s="167"/>
      <c r="D58" s="167"/>
      <c r="E58" s="39"/>
      <c r="G58" s="770" t="str">
        <f>CONCATENATE("Projected Carryover Into ",E1+1,"")</f>
        <v>Projected Carryover Into 2027</v>
      </c>
      <c r="H58" s="775"/>
      <c r="I58" s="775"/>
      <c r="J58" s="772"/>
    </row>
    <row r="59" spans="2:11" x14ac:dyDescent="0.25">
      <c r="B59" s="162" t="s">
        <v>350</v>
      </c>
      <c r="C59" s="172" t="str">
        <f>IF(C60*0.1&lt;C58,"Exceed 10% Rule","")</f>
        <v/>
      </c>
      <c r="D59" s="172" t="str">
        <f>IF(D60*0.1&lt;D58,"Exceed 10% Rule","")</f>
        <v/>
      </c>
      <c r="E59" s="204" t="str">
        <f>IF(E60*0.1+E79&lt;E58,"Exceed 10% Rule","")</f>
        <v/>
      </c>
      <c r="G59" s="398"/>
      <c r="H59" s="385"/>
      <c r="I59" s="385"/>
      <c r="J59" s="405"/>
    </row>
    <row r="60" spans="2:11" x14ac:dyDescent="0.25">
      <c r="B60" s="174" t="s">
        <v>64</v>
      </c>
      <c r="C60" s="594">
        <f>SUM(C47:C58)</f>
        <v>38637</v>
      </c>
      <c r="D60" s="594">
        <f>SUM(D47:D58)</f>
        <v>65839</v>
      </c>
      <c r="E60" s="594">
        <f>SUM(E48:E58)</f>
        <v>5048</v>
      </c>
      <c r="G60" s="400">
        <f>D73</f>
        <v>16718</v>
      </c>
      <c r="H60" s="378" t="str">
        <f>CONCATENATE("",E1-1," Ending Cash Balance (est.)")</f>
        <v>2025 Ending Cash Balance (est.)</v>
      </c>
      <c r="I60" s="401"/>
      <c r="J60" s="405"/>
    </row>
    <row r="61" spans="2:11" x14ac:dyDescent="0.25">
      <c r="B61" s="174" t="s">
        <v>65</v>
      </c>
      <c r="C61" s="594">
        <f>C45+C60</f>
        <v>49606</v>
      </c>
      <c r="D61" s="594">
        <f>D45+D60</f>
        <v>67186</v>
      </c>
      <c r="E61" s="594">
        <f>E45+E60</f>
        <v>21766</v>
      </c>
      <c r="G61" s="400">
        <f>E60</f>
        <v>5048</v>
      </c>
      <c r="H61" s="386" t="str">
        <f>CONCATENATE("",E1," Non-AV Receipts (est.)")</f>
        <v>2026 Non-AV Receipts (est.)</v>
      </c>
      <c r="I61" s="401"/>
      <c r="J61" s="405"/>
    </row>
    <row r="62" spans="2:11" x14ac:dyDescent="0.3">
      <c r="B62" s="93" t="s">
        <v>67</v>
      </c>
      <c r="C62" s="183"/>
      <c r="D62" s="183"/>
      <c r="E62" s="38"/>
      <c r="G62" s="402">
        <f>IF(D78&gt;0,E77,E79)</f>
        <v>46153</v>
      </c>
      <c r="H62" s="386" t="str">
        <f>CONCATENATE("",E1," Ad Valorem Tax (est.)")</f>
        <v>2026 Ad Valorem Tax (est.)</v>
      </c>
      <c r="I62" s="401"/>
      <c r="J62" s="405"/>
      <c r="K62" s="379" t="str">
        <f>IF(G62=E79,"","Note: Does not include Delinquent Taxes")</f>
        <v/>
      </c>
    </row>
    <row r="63" spans="2:11" x14ac:dyDescent="0.25">
      <c r="B63" s="182" t="s">
        <v>1073</v>
      </c>
      <c r="C63" s="167">
        <v>45259</v>
      </c>
      <c r="D63" s="167">
        <v>45468</v>
      </c>
      <c r="E63" s="39">
        <f>50015</f>
        <v>50015</v>
      </c>
      <c r="G63" s="404">
        <f>SUM(G60:G62)</f>
        <v>67919</v>
      </c>
      <c r="H63" s="386" t="str">
        <f>CONCATENATE("Total ",E1," Resources Available")</f>
        <v>Total 2026 Resources Available</v>
      </c>
      <c r="I63" s="405"/>
      <c r="J63" s="405"/>
    </row>
    <row r="64" spans="2:11" x14ac:dyDescent="0.25">
      <c r="B64" s="182" t="s">
        <v>1074</v>
      </c>
      <c r="C64" s="167">
        <v>3000</v>
      </c>
      <c r="D64" s="167">
        <v>5000</v>
      </c>
      <c r="E64" s="39">
        <f>5000+6900</f>
        <v>11900</v>
      </c>
      <c r="G64" s="406"/>
      <c r="H64" s="407"/>
      <c r="I64" s="385"/>
      <c r="J64" s="405"/>
    </row>
    <row r="65" spans="2:10" x14ac:dyDescent="0.25">
      <c r="B65" s="182"/>
      <c r="C65" s="167"/>
      <c r="D65" s="167"/>
      <c r="E65" s="39"/>
      <c r="G65" s="408">
        <f>ROUND(C72*0.05+C72,0)</f>
        <v>50672</v>
      </c>
      <c r="H65" s="407" t="str">
        <f>CONCATENATE("Less ",E1-2," Expenditures + 5%")</f>
        <v>Less 2024 Expenditures + 5%</v>
      </c>
      <c r="I65" s="405"/>
      <c r="J65" s="405"/>
    </row>
    <row r="66" spans="2:10" x14ac:dyDescent="0.35">
      <c r="B66" s="182"/>
      <c r="C66" s="167"/>
      <c r="D66" s="167"/>
      <c r="E66" s="39"/>
      <c r="G66" s="409">
        <f>G63-G65</f>
        <v>17247</v>
      </c>
      <c r="H66" s="410" t="str">
        <f>CONCATENATE("Projected ",E1+1," carryover (est.)")</f>
        <v>Projected 2027 carryover (est.)</v>
      </c>
      <c r="I66" s="411"/>
      <c r="J66" s="412"/>
    </row>
    <row r="67" spans="2:10" x14ac:dyDescent="0.35">
      <c r="B67" s="182"/>
      <c r="C67" s="167"/>
      <c r="D67" s="167"/>
      <c r="E67" s="39"/>
      <c r="G67" s="2"/>
      <c r="H67" s="2"/>
      <c r="I67" s="2"/>
    </row>
    <row r="68" spans="2:10" x14ac:dyDescent="0.25">
      <c r="B68" s="182"/>
      <c r="C68" s="167"/>
      <c r="D68" s="167"/>
      <c r="E68" s="39"/>
      <c r="G68" s="756" t="s">
        <v>706</v>
      </c>
      <c r="H68" s="757"/>
      <c r="I68" s="757"/>
      <c r="J68" s="758"/>
    </row>
    <row r="69" spans="2:10" x14ac:dyDescent="0.25">
      <c r="B69" s="183" t="str">
        <f>CONCATENATE("Cash Reserve (",E1," column)")</f>
        <v>Cash Reserve (2026 column)</v>
      </c>
      <c r="C69" s="167"/>
      <c r="D69" s="167"/>
      <c r="E69" s="39">
        <v>6004</v>
      </c>
      <c r="G69" s="759"/>
      <c r="H69" s="760"/>
      <c r="I69" s="760"/>
      <c r="J69" s="761"/>
    </row>
    <row r="70" spans="2:10" x14ac:dyDescent="0.25">
      <c r="B70" s="183" t="s">
        <v>9</v>
      </c>
      <c r="C70" s="167"/>
      <c r="D70" s="167"/>
      <c r="E70" s="39"/>
      <c r="G70" s="580">
        <f>'Budget Hearing Notice'!H21</f>
        <v>0.70599999999999996</v>
      </c>
      <c r="H70" s="378" t="str">
        <f>CONCATENATE("",E1," Estimated Fund Mill Rate")</f>
        <v>2026 Estimated Fund Mill Rate</v>
      </c>
      <c r="I70" s="581"/>
      <c r="J70" s="582"/>
    </row>
    <row r="71" spans="2:10" x14ac:dyDescent="0.25">
      <c r="B71" s="183" t="s">
        <v>351</v>
      </c>
      <c r="C71" s="172" t="str">
        <f>IF(C72*0.1&lt;C70,"Exceed 10% Rule","")</f>
        <v/>
      </c>
      <c r="D71" s="172" t="str">
        <f>IF(D72*0.1&lt;D70,"Exceed 10% Rule","")</f>
        <v/>
      </c>
      <c r="E71" s="204" t="str">
        <f>IF(E72*0.1&lt;E70,"Exceed 10% Rule","")</f>
        <v/>
      </c>
      <c r="G71" s="583">
        <f>'Budget Hearing Notice'!E21</f>
        <v>0.96199999999999997</v>
      </c>
      <c r="H71" s="378" t="str">
        <f>CONCATENATE("",E1-1," Fund Mill Rate")</f>
        <v>2025 Fund Mill Rate</v>
      </c>
      <c r="I71" s="581"/>
      <c r="J71" s="582"/>
    </row>
    <row r="72" spans="2:10" x14ac:dyDescent="0.25">
      <c r="B72" s="174" t="s">
        <v>71</v>
      </c>
      <c r="C72" s="594">
        <f>SUM(C63:C70)</f>
        <v>48259</v>
      </c>
      <c r="D72" s="594">
        <f>SUM(D63:D70)</f>
        <v>50468</v>
      </c>
      <c r="E72" s="594">
        <f>SUM(E63:E70)</f>
        <v>67919</v>
      </c>
      <c r="G72" s="584">
        <f>inputOth!D20</f>
        <v>33.582999999999998</v>
      </c>
      <c r="H72" s="585" t="s">
        <v>707</v>
      </c>
      <c r="I72" s="581"/>
      <c r="J72" s="582"/>
    </row>
    <row r="73" spans="2:10" x14ac:dyDescent="0.25">
      <c r="B73" s="93" t="s">
        <v>134</v>
      </c>
      <c r="C73" s="140">
        <f>C61-C72</f>
        <v>1347</v>
      </c>
      <c r="D73" s="140">
        <f>D61-D72</f>
        <v>16718</v>
      </c>
      <c r="E73" s="192" t="s">
        <v>49</v>
      </c>
      <c r="G73" s="580">
        <f>'Budget Hearing Notice'!H52</f>
        <v>34.4</v>
      </c>
      <c r="H73" s="378" t="str">
        <f>CONCATENATE(E1," Estimated Total Mill Rate")</f>
        <v>2026 Estimated Total Mill Rate</v>
      </c>
      <c r="I73" s="581"/>
      <c r="J73" s="582"/>
    </row>
    <row r="74" spans="2:10" x14ac:dyDescent="0.25">
      <c r="B74" s="108" t="str">
        <f>CONCATENATE("",E1-2,"/",E1-1,"/",E1," Budget Authority Amount:")</f>
        <v>2024/2025/2026 Budget Authority Amount:</v>
      </c>
      <c r="C74" s="447">
        <f>inputOth!B69</f>
        <v>50259</v>
      </c>
      <c r="D74" s="447">
        <f>inputPrYr!D25</f>
        <v>60523</v>
      </c>
      <c r="E74" s="140">
        <f>E72</f>
        <v>67919</v>
      </c>
      <c r="G74" s="586">
        <f>'Budget Hearing Notice'!E52</f>
        <v>34.4</v>
      </c>
      <c r="H74" s="378" t="str">
        <f>CONCATENATE(E1-1," Total Mill Rate")</f>
        <v>2025 Total Mill Rate</v>
      </c>
      <c r="I74" s="581"/>
      <c r="J74" s="582"/>
    </row>
    <row r="75" spans="2:10" x14ac:dyDescent="0.25">
      <c r="B75" s="80"/>
      <c r="C75" s="749" t="s">
        <v>319</v>
      </c>
      <c r="D75" s="750"/>
      <c r="E75" s="39"/>
      <c r="G75" s="398"/>
      <c r="H75" s="385"/>
      <c r="I75" s="385"/>
      <c r="J75" s="405"/>
    </row>
    <row r="76" spans="2:10" x14ac:dyDescent="0.25">
      <c r="B76" s="331" t="str">
        <f>CONCATENATE(C99,"     ",D99)</f>
        <v xml:space="preserve">     </v>
      </c>
      <c r="C76" s="751" t="s">
        <v>320</v>
      </c>
      <c r="D76" s="752"/>
      <c r="E76" s="140">
        <f>E72+E75</f>
        <v>67919</v>
      </c>
      <c r="G76" s="762" t="s">
        <v>708</v>
      </c>
      <c r="H76" s="763"/>
      <c r="I76" s="763"/>
      <c r="J76" s="766" t="str">
        <f>IF(G73&gt;G72, "Yes", "No")</f>
        <v>Yes</v>
      </c>
    </row>
    <row r="77" spans="2:10" x14ac:dyDescent="0.25">
      <c r="B77" s="331" t="str">
        <f>CONCATENATE(C100,"     ",D100)</f>
        <v xml:space="preserve">     </v>
      </c>
      <c r="C77" s="185"/>
      <c r="D77" s="107" t="s">
        <v>72</v>
      </c>
      <c r="E77" s="140">
        <f>IF(E76-E61&gt;0,E76-E61,0)</f>
        <v>46153</v>
      </c>
      <c r="G77" s="764"/>
      <c r="H77" s="765"/>
      <c r="I77" s="765"/>
      <c r="J77" s="767"/>
    </row>
    <row r="78" spans="2:10" x14ac:dyDescent="0.25">
      <c r="B78" s="107"/>
      <c r="C78" s="257" t="s">
        <v>318</v>
      </c>
      <c r="D78" s="451">
        <f>inputOth!$E$50</f>
        <v>0</v>
      </c>
      <c r="E78" s="140">
        <f>ROUND(IF(D78&gt;0,(E77*D78),0),0)</f>
        <v>0</v>
      </c>
      <c r="G78" s="768" t="str">
        <f>IF(J76="Yes", "Follow procedure prescribed by KSA 79-2988 to exceed the Revenue Neutral Rate.", " ")</f>
        <v>Follow procedure prescribed by KSA 79-2988 to exceed the Revenue Neutral Rate.</v>
      </c>
      <c r="H78" s="768"/>
      <c r="I78" s="768"/>
      <c r="J78" s="768"/>
    </row>
    <row r="79" spans="2:10" ht="16" thickBot="1" x14ac:dyDescent="0.3">
      <c r="B79" s="28"/>
      <c r="C79" s="726" t="str">
        <f>CONCATENATE("Amount of  ",$E$1-1," Ad Valorem Tax")</f>
        <v>Amount of  2025 Ad Valorem Tax</v>
      </c>
      <c r="D79" s="753"/>
      <c r="E79" s="383">
        <f>E77+E78</f>
        <v>46153</v>
      </c>
      <c r="F79" s="184"/>
      <c r="G79" s="769"/>
      <c r="H79" s="769"/>
      <c r="I79" s="769"/>
      <c r="J79" s="769"/>
    </row>
    <row r="80" spans="2:10" ht="16" thickTop="1" x14ac:dyDescent="0.25">
      <c r="B80" s="28"/>
      <c r="C80" s="28"/>
      <c r="D80" s="28"/>
      <c r="E80" s="28"/>
      <c r="F80" s="452" t="str">
        <f>IF(E72/0.95-E72&lt;E75,"Exceeds 5%","")</f>
        <v/>
      </c>
      <c r="G80" s="769"/>
      <c r="H80" s="769"/>
      <c r="I80" s="769"/>
      <c r="J80" s="769"/>
    </row>
    <row r="81" spans="2:5" x14ac:dyDescent="0.25">
      <c r="B81" s="540" t="s">
        <v>535</v>
      </c>
      <c r="C81" s="69"/>
      <c r="D81" s="69"/>
      <c r="E81" s="512"/>
    </row>
    <row r="82" spans="2:5" x14ac:dyDescent="0.25">
      <c r="B82" s="398"/>
      <c r="C82" s="28"/>
      <c r="D82" s="28"/>
      <c r="E82" s="405"/>
    </row>
    <row r="83" spans="2:5" x14ac:dyDescent="0.25">
      <c r="B83" s="515"/>
      <c r="C83" s="43"/>
      <c r="D83" s="43"/>
      <c r="E83" s="49"/>
    </row>
    <row r="84" spans="2:5" x14ac:dyDescent="0.25">
      <c r="B84" s="28"/>
      <c r="C84" s="28"/>
      <c r="D84" s="28"/>
      <c r="E84" s="28"/>
    </row>
    <row r="85" spans="2:5" x14ac:dyDescent="0.25">
      <c r="B85" s="274" t="s">
        <v>74</v>
      </c>
      <c r="C85" s="465">
        <v>10</v>
      </c>
      <c r="D85" s="28"/>
      <c r="E85" s="28"/>
    </row>
    <row r="97" spans="3:4" x14ac:dyDescent="0.25">
      <c r="C97" s="330" t="str">
        <f>IF(C33&gt;C35,"See Tab A","")</f>
        <v/>
      </c>
      <c r="D97" s="330" t="str">
        <f>IF(D31&gt;D35,"See Tab C","")</f>
        <v/>
      </c>
    </row>
    <row r="98" spans="3:4" hidden="1" x14ac:dyDescent="0.25">
      <c r="C98" s="330" t="str">
        <f>IF(C34&lt;0,"See Tab B","")</f>
        <v/>
      </c>
      <c r="D98" s="330" t="str">
        <f>IF(D34&lt;0,"See Tab D","")</f>
        <v/>
      </c>
    </row>
    <row r="99" spans="3:4" hidden="1" x14ac:dyDescent="0.25">
      <c r="C99" s="330" t="str">
        <f>IF(C70&gt;C74,"See Tab A","")</f>
        <v/>
      </c>
      <c r="D99" s="330" t="str">
        <f>IF(D70&gt;D74,"See Tab C","")</f>
        <v/>
      </c>
    </row>
    <row r="100" spans="3:4" hidden="1" x14ac:dyDescent="0.25">
      <c r="C100" s="330" t="str">
        <f>IF(C73&lt;0,"See Tab B","")</f>
        <v/>
      </c>
      <c r="D100" s="330" t="str">
        <f>IF(D73&lt;0,"See Tab D","")</f>
        <v/>
      </c>
    </row>
    <row r="101" spans="3:4" hidden="1" x14ac:dyDescent="0.25"/>
  </sheetData>
  <sheetProtection sheet="1" objects="1" scenarios="1"/>
  <mergeCells count="19">
    <mergeCell ref="C79:D79"/>
    <mergeCell ref="C75:D75"/>
    <mergeCell ref="C76:D76"/>
    <mergeCell ref="C36:D36"/>
    <mergeCell ref="C37:D37"/>
    <mergeCell ref="C41:D41"/>
    <mergeCell ref="C40:D40"/>
    <mergeCell ref="G76:I77"/>
    <mergeCell ref="J76:J77"/>
    <mergeCell ref="G78:J80"/>
    <mergeCell ref="G9:J9"/>
    <mergeCell ref="G16:J16"/>
    <mergeCell ref="G51:J51"/>
    <mergeCell ref="G58:J58"/>
    <mergeCell ref="G26:J27"/>
    <mergeCell ref="G34:I35"/>
    <mergeCell ref="J34:J35"/>
    <mergeCell ref="G36:J38"/>
    <mergeCell ref="G68:J69"/>
  </mergeCells>
  <phoneticPr fontId="0" type="noConversion"/>
  <conditionalFormatting sqref="C19">
    <cfRule type="cellIs" dxfId="273" priority="19" stopIfTrue="1" operator="greaterThan">
      <formula>$C$21*0.1</formula>
    </cfRule>
  </conditionalFormatting>
  <conditionalFormatting sqref="C31">
    <cfRule type="cellIs" dxfId="272" priority="9" stopIfTrue="1" operator="greaterThan">
      <formula>$C$33*0.1</formula>
    </cfRule>
  </conditionalFormatting>
  <conditionalFormatting sqref="C58">
    <cfRule type="cellIs" dxfId="271" priority="21" stopIfTrue="1" operator="greaterThan">
      <formula>$C$60*0.1</formula>
    </cfRule>
  </conditionalFormatting>
  <conditionalFormatting sqref="C70">
    <cfRule type="cellIs" dxfId="270" priority="14" stopIfTrue="1" operator="greaterThan">
      <formula>$C$72*0.1</formula>
    </cfRule>
  </conditionalFormatting>
  <conditionalFormatting sqref="D19">
    <cfRule type="cellIs" dxfId="269" priority="18" stopIfTrue="1" operator="greaterThan">
      <formula>$D$21*0.1</formula>
    </cfRule>
  </conditionalFormatting>
  <conditionalFormatting sqref="D31">
    <cfRule type="cellIs" dxfId="268" priority="10" stopIfTrue="1" operator="greaterThan">
      <formula>$D$33*0.1</formula>
    </cfRule>
  </conditionalFormatting>
  <conditionalFormatting sqref="D58">
    <cfRule type="cellIs" dxfId="267" priority="20" stopIfTrue="1" operator="greaterThan">
      <formula>$D$60*0.1</formula>
    </cfRule>
  </conditionalFormatting>
  <conditionalFormatting sqref="D70">
    <cfRule type="cellIs" dxfId="266" priority="15" stopIfTrue="1" operator="greaterThan">
      <formula>$D$72*0.1</formula>
    </cfRule>
  </conditionalFormatting>
  <conditionalFormatting sqref="E19">
    <cfRule type="cellIs" dxfId="265" priority="23" stopIfTrue="1" operator="greaterThan">
      <formula>$E$21*0.1+E40</formula>
    </cfRule>
  </conditionalFormatting>
  <conditionalFormatting sqref="E31">
    <cfRule type="cellIs" dxfId="264" priority="7" stopIfTrue="1" operator="greaterThan">
      <formula>$E$33*0.1</formula>
    </cfRule>
  </conditionalFormatting>
  <conditionalFormatting sqref="E36">
    <cfRule type="cellIs" dxfId="263" priority="8" stopIfTrue="1" operator="greaterThan">
      <formula>$E$33/0.95-$E$33</formula>
    </cfRule>
  </conditionalFormatting>
  <conditionalFormatting sqref="E58">
    <cfRule type="cellIs" dxfId="262" priority="22" stopIfTrue="1" operator="greaterThan">
      <formula>$E$60*0.1+E79</formula>
    </cfRule>
  </conditionalFormatting>
  <conditionalFormatting sqref="E70">
    <cfRule type="cellIs" dxfId="261" priority="5" stopIfTrue="1" operator="greaterThan">
      <formula>$E$72*0.1</formula>
    </cfRule>
  </conditionalFormatting>
  <conditionalFormatting sqref="E75">
    <cfRule type="cellIs" dxfId="260" priority="6" stopIfTrue="1" operator="greaterThan">
      <formula>$E$72/0.95-$E$72</formula>
    </cfRule>
  </conditionalFormatting>
  <conditionalFormatting sqref="J34">
    <cfRule type="containsText" dxfId="259" priority="2" operator="containsText" text="Yes">
      <formula>NOT(ISERROR(SEARCH("Yes",J34)))</formula>
    </cfRule>
  </conditionalFormatting>
  <conditionalFormatting sqref="J76">
    <cfRule type="containsText" dxfId="258" priority="1" operator="containsText" text="Yes">
      <formula>NOT(ISERROR(SEARCH("Yes",J76)))</formula>
    </cfRule>
  </conditionalFormatting>
  <pageMargins left="0.5" right="0.5" top="1" bottom="0.5" header="0.5" footer="0.5"/>
  <pageSetup scale="51" orientation="portrait" blackAndWhite="1" r:id="rId1"/>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DD571"/>
    <pageSetUpPr fitToPage="1"/>
  </sheetPr>
  <dimension ref="B1:K107"/>
  <sheetViews>
    <sheetView topLeftCell="A57" zoomScaleNormal="100" workbookViewId="0">
      <selection activeCell="E30" sqref="E30"/>
    </sheetView>
  </sheetViews>
  <sheetFormatPr defaultColWidth="8.9140625" defaultRowHeight="15.5" x14ac:dyDescent="0.25"/>
  <cols>
    <col min="1" max="1" width="2.4140625" style="26" customWidth="1"/>
    <col min="2" max="2" width="31.08203125" style="26" customWidth="1"/>
    <col min="3" max="4" width="15.75" style="26" customWidth="1"/>
    <col min="5" max="5" width="16.25" style="26" customWidth="1"/>
    <col min="6" max="6" width="8.9140625" style="26"/>
    <col min="7" max="7" width="10.25" style="26" customWidth="1"/>
    <col min="8" max="8" width="8.9140625" style="26"/>
    <col min="9" max="9" width="5.4140625" style="26" customWidth="1"/>
    <col min="10" max="10" width="10" style="26" customWidth="1"/>
    <col min="11" max="16384" width="8.9140625" style="26"/>
  </cols>
  <sheetData>
    <row r="1" spans="2:10" x14ac:dyDescent="0.25">
      <c r="B1" s="47" t="str">
        <f>(inputPrYr!D3)</f>
        <v>The City of Colby</v>
      </c>
      <c r="C1" s="28"/>
      <c r="D1" s="28"/>
      <c r="E1" s="80">
        <f>inputPrYr!C6</f>
        <v>2026</v>
      </c>
    </row>
    <row r="2" spans="2:10" x14ac:dyDescent="0.25">
      <c r="B2" s="28"/>
      <c r="C2" s="28"/>
      <c r="D2" s="28"/>
      <c r="E2" s="107"/>
    </row>
    <row r="3" spans="2:10" x14ac:dyDescent="0.25">
      <c r="B3" s="160" t="s">
        <v>119</v>
      </c>
      <c r="C3" s="115"/>
      <c r="D3" s="115"/>
      <c r="E3" s="132"/>
    </row>
    <row r="4" spans="2:10" x14ac:dyDescent="0.25">
      <c r="B4" s="29" t="s">
        <v>57</v>
      </c>
      <c r="C4" s="443" t="s">
        <v>475</v>
      </c>
      <c r="D4" s="444" t="s">
        <v>476</v>
      </c>
      <c r="E4" s="87" t="s">
        <v>477</v>
      </c>
    </row>
    <row r="5" spans="2:10" x14ac:dyDescent="0.25">
      <c r="B5" s="334" t="str">
        <f>inputPrYr!B26</f>
        <v>Employee Benefits</v>
      </c>
      <c r="C5" s="137" t="str">
        <f>CONCATENATE("Actual for ",E1-2,"")</f>
        <v>Actual for 2024</v>
      </c>
      <c r="D5" s="137" t="str">
        <f>CONCATENATE("Estimate for ",E1-1,"")</f>
        <v>Estimate for 2025</v>
      </c>
      <c r="E5" s="122" t="str">
        <f>CONCATENATE("Year for ",E1,"")</f>
        <v>Year for 2026</v>
      </c>
    </row>
    <row r="6" spans="2:10" x14ac:dyDescent="0.25">
      <c r="B6" s="162" t="s">
        <v>133</v>
      </c>
      <c r="C6" s="167">
        <v>388369</v>
      </c>
      <c r="D6" s="165">
        <f>C40</f>
        <v>381070</v>
      </c>
      <c r="E6" s="140">
        <f>D40</f>
        <v>443982</v>
      </c>
    </row>
    <row r="7" spans="2:10" x14ac:dyDescent="0.25">
      <c r="B7" s="166" t="s">
        <v>135</v>
      </c>
      <c r="C7" s="102"/>
      <c r="D7" s="102"/>
      <c r="E7" s="52"/>
    </row>
    <row r="8" spans="2:10" x14ac:dyDescent="0.25">
      <c r="B8" s="93" t="s">
        <v>58</v>
      </c>
      <c r="C8" s="167">
        <v>563704</v>
      </c>
      <c r="D8" s="165">
        <f>IF(inputPrYr!H21&gt;0,inputPrYr!G30,inputPrYr!E26)</f>
        <v>561848</v>
      </c>
      <c r="E8" s="192" t="s">
        <v>49</v>
      </c>
      <c r="G8" s="770" t="str">
        <f>CONCATENATE("Desired Carryover Into ",E1+1,"")</f>
        <v>Desired Carryover Into 2027</v>
      </c>
      <c r="H8" s="754"/>
      <c r="I8" s="754"/>
      <c r="J8" s="755"/>
    </row>
    <row r="9" spans="2:10" x14ac:dyDescent="0.25">
      <c r="B9" s="93" t="s">
        <v>59</v>
      </c>
      <c r="C9" s="167">
        <v>4922</v>
      </c>
      <c r="D9" s="167">
        <v>1180</v>
      </c>
      <c r="E9" s="39">
        <v>0</v>
      </c>
      <c r="G9" s="384"/>
      <c r="H9" s="385"/>
      <c r="I9" s="386"/>
      <c r="J9" s="387"/>
    </row>
    <row r="10" spans="2:10" x14ac:dyDescent="0.25">
      <c r="B10" s="93" t="s">
        <v>60</v>
      </c>
      <c r="C10" s="167">
        <v>61070</v>
      </c>
      <c r="D10" s="167">
        <v>54126</v>
      </c>
      <c r="E10" s="140">
        <f>Mvalloc!D14</f>
        <v>53239</v>
      </c>
      <c r="G10" s="388" t="s">
        <v>347</v>
      </c>
      <c r="H10" s="386"/>
      <c r="I10" s="386"/>
      <c r="J10" s="389">
        <v>0</v>
      </c>
    </row>
    <row r="11" spans="2:10" x14ac:dyDescent="0.25">
      <c r="B11" s="93" t="s">
        <v>61</v>
      </c>
      <c r="C11" s="167">
        <v>708</v>
      </c>
      <c r="D11" s="167">
        <v>1011</v>
      </c>
      <c r="E11" s="140">
        <f>Mvalloc!E14</f>
        <v>937</v>
      </c>
      <c r="G11" s="384" t="s">
        <v>348</v>
      </c>
      <c r="H11" s="385"/>
      <c r="I11" s="385"/>
      <c r="J11" s="390" t="str">
        <f>IF(J10=0,"",ROUND((J10+E46-G27)/inputOth!E7*1000,3)-G34)</f>
        <v/>
      </c>
    </row>
    <row r="12" spans="2:10" x14ac:dyDescent="0.25">
      <c r="B12" s="102" t="s">
        <v>126</v>
      </c>
      <c r="C12" s="167">
        <v>1626</v>
      </c>
      <c r="D12" s="167">
        <v>954</v>
      </c>
      <c r="E12" s="140">
        <f>Mvalloc!F14</f>
        <v>813</v>
      </c>
      <c r="G12" s="391" t="str">
        <f>CONCATENATE("",E1," Tot Exp/Non-Appr Must Be:")</f>
        <v>2026 Tot Exp/Non-Appr Must Be:</v>
      </c>
      <c r="H12" s="392"/>
      <c r="I12" s="393"/>
      <c r="J12" s="394">
        <f>IF(J10&gt;0,IF(E43&lt;E26,IF(J10=G27,E43,((J10-G27)*(1-D45))+E26),E43+(J10-G27)),0)</f>
        <v>0</v>
      </c>
    </row>
    <row r="13" spans="2:10" x14ac:dyDescent="0.25">
      <c r="B13" s="509" t="s">
        <v>524</v>
      </c>
      <c r="C13" s="167">
        <v>6343</v>
      </c>
      <c r="D13" s="167">
        <v>4413</v>
      </c>
      <c r="E13" s="140">
        <f>Mvalloc!G14</f>
        <v>4276</v>
      </c>
      <c r="G13" s="395" t="s">
        <v>421</v>
      </c>
      <c r="H13" s="396"/>
      <c r="I13" s="396"/>
      <c r="J13" s="397">
        <f>IF(J10&gt;0,J12-E44,0)</f>
        <v>0</v>
      </c>
    </row>
    <row r="14" spans="2:10" x14ac:dyDescent="0.25">
      <c r="B14" s="182" t="s">
        <v>1081</v>
      </c>
      <c r="C14" s="39">
        <v>370906</v>
      </c>
      <c r="D14" s="39">
        <v>346746</v>
      </c>
      <c r="E14" s="39">
        <v>324264</v>
      </c>
      <c r="F14" s="26" t="s">
        <v>1042</v>
      </c>
      <c r="G14" s="656"/>
      <c r="H14" s="657"/>
      <c r="I14" s="657"/>
      <c r="J14" s="658"/>
    </row>
    <row r="15" spans="2:10" x14ac:dyDescent="0.25">
      <c r="B15" s="182" t="s">
        <v>1082</v>
      </c>
      <c r="C15" s="39">
        <v>157025</v>
      </c>
      <c r="D15" s="39">
        <v>161502</v>
      </c>
      <c r="E15" s="39">
        <v>167254</v>
      </c>
      <c r="F15" s="26" t="s">
        <v>1042</v>
      </c>
      <c r="G15" s="656"/>
      <c r="H15" s="657"/>
      <c r="I15" s="657"/>
      <c r="J15" s="658"/>
    </row>
    <row r="16" spans="2:10" x14ac:dyDescent="0.25">
      <c r="B16" s="182" t="s">
        <v>1083</v>
      </c>
      <c r="C16" s="39">
        <v>89789</v>
      </c>
      <c r="D16" s="39">
        <v>93556</v>
      </c>
      <c r="E16" s="39">
        <v>101046</v>
      </c>
      <c r="F16" s="26" t="s">
        <v>1042</v>
      </c>
      <c r="G16" s="656"/>
      <c r="H16" s="657"/>
      <c r="I16" s="657"/>
      <c r="J16" s="658"/>
    </row>
    <row r="17" spans="2:11" x14ac:dyDescent="0.25">
      <c r="B17" s="182" t="s">
        <v>1084</v>
      </c>
      <c r="C17" s="39">
        <v>87453</v>
      </c>
      <c r="D17" s="39">
        <v>84791</v>
      </c>
      <c r="E17" s="39">
        <v>107661</v>
      </c>
      <c r="F17" s="26" t="s">
        <v>1042</v>
      </c>
      <c r="G17" s="656"/>
      <c r="H17" s="657"/>
      <c r="I17" s="657"/>
      <c r="J17" s="658"/>
    </row>
    <row r="18" spans="2:11" x14ac:dyDescent="0.35">
      <c r="B18" s="182" t="s">
        <v>1085</v>
      </c>
      <c r="C18" s="39">
        <v>36142</v>
      </c>
      <c r="D18" s="39">
        <v>41903</v>
      </c>
      <c r="E18" s="39">
        <v>42554</v>
      </c>
      <c r="F18" s="181" t="s">
        <v>1042</v>
      </c>
      <c r="G18" s="181"/>
      <c r="H18" s="181"/>
      <c r="J18" s="2"/>
    </row>
    <row r="19" spans="2:11" x14ac:dyDescent="0.25">
      <c r="B19" s="182" t="s">
        <v>1086</v>
      </c>
      <c r="C19" s="39">
        <v>11111</v>
      </c>
      <c r="D19" s="39">
        <v>28381</v>
      </c>
      <c r="E19" s="39">
        <v>27696</v>
      </c>
      <c r="F19" s="181" t="s">
        <v>1042</v>
      </c>
      <c r="G19" s="770" t="str">
        <f>CONCATENATE("Projected Carryover Into ",E1+1,"")</f>
        <v>Projected Carryover Into 2027</v>
      </c>
      <c r="H19" s="771"/>
      <c r="I19" s="771"/>
      <c r="J19" s="772"/>
    </row>
    <row r="20" spans="2:11" x14ac:dyDescent="0.35">
      <c r="B20" s="182" t="s">
        <v>1087</v>
      </c>
      <c r="C20" s="39">
        <v>0</v>
      </c>
      <c r="D20" s="39">
        <v>126613</v>
      </c>
      <c r="E20" s="39">
        <v>100000</v>
      </c>
      <c r="F20" s="26" t="s">
        <v>1042</v>
      </c>
      <c r="G20" s="384"/>
      <c r="H20" s="386"/>
      <c r="I20" s="386"/>
      <c r="J20" s="399"/>
    </row>
    <row r="21" spans="2:11" x14ac:dyDescent="0.35">
      <c r="B21" s="171" t="s">
        <v>63</v>
      </c>
      <c r="C21" s="167">
        <v>109187</v>
      </c>
      <c r="D21" s="167">
        <v>121088</v>
      </c>
      <c r="E21" s="39">
        <v>103416</v>
      </c>
      <c r="G21" s="400">
        <f>D40</f>
        <v>443982</v>
      </c>
      <c r="H21" s="378" t="str">
        <f>CONCATENATE("",E1-1," Ending Cash Balance (est.)")</f>
        <v>2025 Ending Cash Balance (est.)</v>
      </c>
      <c r="I21" s="401"/>
      <c r="J21" s="399"/>
    </row>
    <row r="22" spans="2:11" x14ac:dyDescent="0.35">
      <c r="B22" s="183" t="s">
        <v>8</v>
      </c>
      <c r="C22" s="167">
        <v>-38264</v>
      </c>
      <c r="D22" s="167">
        <v>-21449</v>
      </c>
      <c r="E22" s="140">
        <f>'NR Rebate20'!E13*-1</f>
        <v>-16122</v>
      </c>
      <c r="G22" s="400">
        <f>E25</f>
        <v>1017034</v>
      </c>
      <c r="H22" s="386" t="str">
        <f>CONCATENATE("",E1," Non-AV Receipts (est.)")</f>
        <v>2026 Non-AV Receipts (est.)</v>
      </c>
      <c r="I22" s="401"/>
      <c r="J22" s="399"/>
    </row>
    <row r="23" spans="2:11" x14ac:dyDescent="0.3">
      <c r="B23" s="102" t="s">
        <v>9</v>
      </c>
      <c r="C23" s="167">
        <v>127</v>
      </c>
      <c r="D23" s="167">
        <v>0</v>
      </c>
      <c r="E23" s="39">
        <v>0</v>
      </c>
      <c r="G23" s="402">
        <f>IF(E45&gt;0,E44,E46)</f>
        <v>580735</v>
      </c>
      <c r="H23" s="386" t="str">
        <f>CONCATENATE("",E1," Ad Valorem Tax (est.)")</f>
        <v>2026 Ad Valorem Tax (est.)</v>
      </c>
      <c r="I23" s="401"/>
      <c r="J23" s="380"/>
      <c r="K23" s="379" t="str">
        <f>IF(G23=E46,"","Note: Does not include Delinquent Taxes")</f>
        <v/>
      </c>
    </row>
    <row r="24" spans="2:11" x14ac:dyDescent="0.35">
      <c r="B24" s="162" t="s">
        <v>350</v>
      </c>
      <c r="C24" s="172" t="str">
        <f>IF(C25*0.1&lt;C23,"Exceed 10% Rule","")</f>
        <v/>
      </c>
      <c r="D24" s="172" t="str">
        <f>IF(D25*0.1&lt;D23,"Exceed 10% Rule","")</f>
        <v/>
      </c>
      <c r="E24" s="204" t="str">
        <f>IF(E25*0.1+E46&lt;E23,"Exceed 10% Rule","")</f>
        <v/>
      </c>
      <c r="G24" s="400">
        <f>SUM(G21:G23)</f>
        <v>2041751</v>
      </c>
      <c r="H24" s="386" t="str">
        <f>CONCATENATE("Total ",E1," Resources Available")</f>
        <v>Total 2026 Resources Available</v>
      </c>
      <c r="I24" s="401"/>
      <c r="J24" s="399"/>
    </row>
    <row r="25" spans="2:11" x14ac:dyDescent="0.35">
      <c r="B25" s="174" t="s">
        <v>64</v>
      </c>
      <c r="C25" s="594">
        <f>SUM(C8:C23)</f>
        <v>1461849</v>
      </c>
      <c r="D25" s="594">
        <f>SUM(D8:D23)</f>
        <v>1606663</v>
      </c>
      <c r="E25" s="594">
        <f>SUM(E8:E23)</f>
        <v>1017034</v>
      </c>
      <c r="G25" s="436"/>
      <c r="H25" s="386"/>
      <c r="I25" s="386"/>
      <c r="J25" s="399"/>
    </row>
    <row r="26" spans="2:11" x14ac:dyDescent="0.35">
      <c r="B26" s="174" t="s">
        <v>65</v>
      </c>
      <c r="C26" s="594">
        <f>C6+C25</f>
        <v>1850218</v>
      </c>
      <c r="D26" s="594">
        <f>D6+D25</f>
        <v>1987733</v>
      </c>
      <c r="E26" s="594">
        <f>E6+E25</f>
        <v>1461016</v>
      </c>
      <c r="G26" s="402">
        <f>ROUND(C39*0.05+C39,0)</f>
        <v>1542605</v>
      </c>
      <c r="H26" s="386" t="str">
        <f>CONCATENATE("Less ",E1-2," Expenditures + 5%")</f>
        <v>Less 2024 Expenditures + 5%</v>
      </c>
      <c r="I26" s="401"/>
      <c r="J26" s="399"/>
    </row>
    <row r="27" spans="2:11" x14ac:dyDescent="0.35">
      <c r="B27" s="93" t="s">
        <v>67</v>
      </c>
      <c r="C27" s="183"/>
      <c r="D27" s="183"/>
      <c r="E27" s="38"/>
      <c r="G27" s="437">
        <f>G24-G26</f>
        <v>499146</v>
      </c>
      <c r="H27" s="438" t="str">
        <f>CONCATENATE("Projected ",E1+1," carryover (est.)")</f>
        <v>Projected 2027 carryover (est.)</v>
      </c>
      <c r="I27" s="439"/>
      <c r="J27" s="412"/>
    </row>
    <row r="28" spans="2:11" x14ac:dyDescent="0.35">
      <c r="B28" s="182" t="s">
        <v>1088</v>
      </c>
      <c r="C28" s="39">
        <v>293917</v>
      </c>
      <c r="D28" s="39">
        <v>312639</v>
      </c>
      <c r="E28" s="39">
        <v>375952</v>
      </c>
      <c r="G28" s="659"/>
      <c r="H28" s="660"/>
      <c r="I28" s="660"/>
      <c r="J28" s="2"/>
    </row>
    <row r="29" spans="2:11" x14ac:dyDescent="0.35">
      <c r="B29" s="182" t="s">
        <v>1089</v>
      </c>
      <c r="C29" s="39">
        <v>388590</v>
      </c>
      <c r="D29" s="39">
        <v>433820</v>
      </c>
      <c r="E29" s="39">
        <v>484817</v>
      </c>
      <c r="G29" s="659"/>
      <c r="H29" s="660"/>
      <c r="I29" s="660"/>
      <c r="J29" s="2"/>
    </row>
    <row r="30" spans="2:11" x14ac:dyDescent="0.35">
      <c r="B30" s="182" t="s">
        <v>1090</v>
      </c>
      <c r="C30" s="39">
        <v>3617</v>
      </c>
      <c r="D30" s="39">
        <v>3851</v>
      </c>
      <c r="E30" s="39">
        <v>4914</v>
      </c>
      <c r="G30" s="2"/>
      <c r="H30" s="2"/>
      <c r="I30" s="2"/>
      <c r="J30" s="2"/>
    </row>
    <row r="31" spans="2:11" x14ac:dyDescent="0.25">
      <c r="B31" s="182" t="s">
        <v>1091</v>
      </c>
      <c r="C31" s="39">
        <v>67775</v>
      </c>
      <c r="D31" s="39">
        <v>55517</v>
      </c>
      <c r="E31" s="39">
        <v>77072</v>
      </c>
      <c r="G31" s="756" t="s">
        <v>706</v>
      </c>
      <c r="H31" s="757"/>
      <c r="I31" s="757"/>
      <c r="J31" s="758"/>
    </row>
    <row r="32" spans="2:11" x14ac:dyDescent="0.25">
      <c r="B32" s="182" t="s">
        <v>1092</v>
      </c>
      <c r="C32" s="39">
        <f>22321+24965+204+1</f>
        <v>47491</v>
      </c>
      <c r="D32" s="39">
        <f>24497+28515+320-1</f>
        <v>53331</v>
      </c>
      <c r="E32" s="39">
        <f>27482+30141+359+215</f>
        <v>58197</v>
      </c>
      <c r="G32" s="759"/>
      <c r="H32" s="760"/>
      <c r="I32" s="760"/>
      <c r="J32" s="761"/>
    </row>
    <row r="33" spans="2:10" x14ac:dyDescent="0.25">
      <c r="B33" s="182" t="s">
        <v>1095</v>
      </c>
      <c r="C33" s="39">
        <v>0</v>
      </c>
      <c r="D33" s="39">
        <v>18345</v>
      </c>
      <c r="E33" s="39">
        <v>20400</v>
      </c>
      <c r="G33" s="580">
        <f>'Budget Hearing Notice'!H22</f>
        <v>8.8889999999999993</v>
      </c>
      <c r="H33" s="378" t="str">
        <f>CONCATENATE("",E1," Estimated Fund Mill Rate")</f>
        <v>2026 Estimated Fund Mill Rate</v>
      </c>
      <c r="I33" s="581"/>
      <c r="J33" s="582"/>
    </row>
    <row r="34" spans="2:10" x14ac:dyDescent="0.25">
      <c r="B34" s="182" t="s">
        <v>1093</v>
      </c>
      <c r="C34" s="39">
        <v>642128</v>
      </c>
      <c r="D34" s="39">
        <v>639698</v>
      </c>
      <c r="E34" s="39">
        <v>990849</v>
      </c>
      <c r="G34" s="583">
        <f>'Budget Hearing Notice'!E22</f>
        <v>9.2249999999999996</v>
      </c>
      <c r="H34" s="378" t="str">
        <f>CONCATENATE("",E1-1," Fund Mill Rate")</f>
        <v>2025 Fund Mill Rate</v>
      </c>
      <c r="I34" s="581"/>
      <c r="J34" s="582"/>
    </row>
    <row r="35" spans="2:10" x14ac:dyDescent="0.25">
      <c r="B35" s="182" t="s">
        <v>1094</v>
      </c>
      <c r="C35" s="39">
        <v>25630</v>
      </c>
      <c r="D35" s="39">
        <v>26550</v>
      </c>
      <c r="E35" s="39">
        <v>29550</v>
      </c>
      <c r="G35" s="584">
        <f>inputOth!D20</f>
        <v>33.582999999999998</v>
      </c>
      <c r="H35" s="585" t="s">
        <v>707</v>
      </c>
      <c r="I35" s="581"/>
      <c r="J35" s="582"/>
    </row>
    <row r="36" spans="2:10" x14ac:dyDescent="0.25">
      <c r="B36" s="183" t="str">
        <f>CONCATENATE("Cash Reserve (",E1," column)")</f>
        <v>Cash Reserve (2026 column)</v>
      </c>
      <c r="C36" s="167"/>
      <c r="D36" s="167"/>
      <c r="E36" s="677"/>
      <c r="G36" s="580">
        <f>'Budget Hearing Notice'!H52</f>
        <v>34.4</v>
      </c>
      <c r="H36" s="378" t="str">
        <f>CONCATENATE(E1," Estimated Total Mill Rate")</f>
        <v>2026 Estimated Total Mill Rate</v>
      </c>
      <c r="I36" s="581"/>
      <c r="J36" s="582"/>
    </row>
    <row r="37" spans="2:10" x14ac:dyDescent="0.25">
      <c r="B37" s="183" t="s">
        <v>9</v>
      </c>
      <c r="C37" s="167"/>
      <c r="D37" s="167"/>
      <c r="E37" s="39"/>
      <c r="G37" s="586">
        <f>'Budget Hearing Notice'!E52</f>
        <v>34.4</v>
      </c>
      <c r="H37" s="378" t="str">
        <f>CONCATENATE(E1-1," Total Mill Rate")</f>
        <v>2025 Total Mill Rate</v>
      </c>
      <c r="I37" s="581"/>
      <c r="J37" s="582"/>
    </row>
    <row r="38" spans="2:10" x14ac:dyDescent="0.25">
      <c r="B38" s="183" t="s">
        <v>351</v>
      </c>
      <c r="C38" s="172" t="str">
        <f>IF(C39*0.1&lt;C37,"Exceed 10% Rule","")</f>
        <v/>
      </c>
      <c r="D38" s="172" t="str">
        <f>IF(D39*0.1&lt;D37,"Exceed 10% Rule","")</f>
        <v/>
      </c>
      <c r="E38" s="204" t="str">
        <f>IF(E39*0.1&lt;E37,"Exceed 10% Rule","")</f>
        <v/>
      </c>
      <c r="G38" s="398"/>
      <c r="H38" s="385"/>
      <c r="I38" s="385"/>
      <c r="J38" s="405"/>
    </row>
    <row r="39" spans="2:10" x14ac:dyDescent="0.25">
      <c r="B39" s="174" t="s">
        <v>71</v>
      </c>
      <c r="C39" s="594">
        <f>SUM(C28:C37)</f>
        <v>1469148</v>
      </c>
      <c r="D39" s="594">
        <f t="shared" ref="D39:E39" si="0">SUM(D28:D37)</f>
        <v>1543751</v>
      </c>
      <c r="E39" s="594">
        <f t="shared" si="0"/>
        <v>2041751</v>
      </c>
      <c r="G39" s="762" t="s">
        <v>708</v>
      </c>
      <c r="H39" s="763"/>
      <c r="I39" s="763"/>
      <c r="J39" s="766" t="str">
        <f>IF(G36&gt;G35, "Yes", "No")</f>
        <v>Yes</v>
      </c>
    </row>
    <row r="40" spans="2:10" x14ac:dyDescent="0.25">
      <c r="B40" s="93" t="s">
        <v>134</v>
      </c>
      <c r="C40" s="140">
        <f>C26-C39</f>
        <v>381070</v>
      </c>
      <c r="D40" s="140">
        <f>D26-D39</f>
        <v>443982</v>
      </c>
      <c r="E40" s="192" t="s">
        <v>49</v>
      </c>
      <c r="G40" s="764"/>
      <c r="H40" s="765"/>
      <c r="I40" s="765"/>
      <c r="J40" s="767"/>
    </row>
    <row r="41" spans="2:10" x14ac:dyDescent="0.25">
      <c r="B41" s="108" t="str">
        <f>CONCATENATE("",E1-2,"/",E1-1,"/",E1," Budget Authority Amount:")</f>
        <v>2024/2025/2026 Budget Authority Amount:</v>
      </c>
      <c r="C41" s="447">
        <f>inputOth!B70</f>
        <v>1848329</v>
      </c>
      <c r="D41" s="447">
        <f>inputPrYr!D26</f>
        <v>1894792</v>
      </c>
      <c r="E41" s="140">
        <f>E39</f>
        <v>2041751</v>
      </c>
      <c r="G41" s="768" t="str">
        <f>IF(J39="Yes", "Follow procedure prescribed by KSA 79-2988 to exceed the Revenue Neutral Rate.", " ")</f>
        <v>Follow procedure prescribed by KSA 79-2988 to exceed the Revenue Neutral Rate.</v>
      </c>
      <c r="H41" s="768"/>
      <c r="I41" s="768"/>
      <c r="J41" s="768"/>
    </row>
    <row r="42" spans="2:10" x14ac:dyDescent="0.25">
      <c r="B42" s="80"/>
      <c r="C42" s="749" t="s">
        <v>319</v>
      </c>
      <c r="D42" s="750"/>
      <c r="E42" s="39"/>
      <c r="G42" s="769"/>
      <c r="H42" s="769"/>
      <c r="I42" s="769"/>
      <c r="J42" s="769"/>
    </row>
    <row r="43" spans="2:10" x14ac:dyDescent="0.25">
      <c r="B43" s="331" t="str">
        <f>CONCATENATE(C102,"     ",D102)</f>
        <v xml:space="preserve">     </v>
      </c>
      <c r="C43" s="751" t="s">
        <v>320</v>
      </c>
      <c r="D43" s="752"/>
      <c r="E43" s="140">
        <f>E39+E42</f>
        <v>2041751</v>
      </c>
      <c r="F43" s="184"/>
      <c r="G43" s="769"/>
      <c r="H43" s="769"/>
      <c r="I43" s="769"/>
      <c r="J43" s="769"/>
    </row>
    <row r="44" spans="2:10" x14ac:dyDescent="0.25">
      <c r="B44" s="331" t="str">
        <f>CONCATENATE(C103,"     ",D103)</f>
        <v xml:space="preserve">     </v>
      </c>
      <c r="C44" s="185"/>
      <c r="D44" s="107" t="s">
        <v>72</v>
      </c>
      <c r="E44" s="140">
        <f>IF(E43-E26&gt;0,E43-E26,0)</f>
        <v>580735</v>
      </c>
      <c r="F44" s="452" t="str">
        <f>IF(E39/0.95-E39&lt;E42,"Exceeds 5%","")</f>
        <v/>
      </c>
    </row>
    <row r="45" spans="2:10" x14ac:dyDescent="0.25">
      <c r="B45" s="107"/>
      <c r="C45" s="257" t="s">
        <v>318</v>
      </c>
      <c r="D45" s="451">
        <f>inputOth!$E$50</f>
        <v>0</v>
      </c>
      <c r="E45" s="140">
        <f>ROUND(IF(D45&gt;0,(E44*D45),0),0)</f>
        <v>0</v>
      </c>
    </row>
    <row r="46" spans="2:10" ht="16" thickBot="1" x14ac:dyDescent="0.3">
      <c r="B46" s="57"/>
      <c r="C46" s="726" t="str">
        <f>CONCATENATE("Amount of  ",$E$1-1," Ad Valorem Tax")</f>
        <v>Amount of  2025 Ad Valorem Tax</v>
      </c>
      <c r="D46" s="753"/>
      <c r="E46" s="383">
        <f>E44+E45</f>
        <v>580735</v>
      </c>
    </row>
    <row r="47" spans="2:10" ht="16" thickTop="1" x14ac:dyDescent="0.25">
      <c r="B47" s="28"/>
      <c r="C47" s="57"/>
      <c r="D47" s="57"/>
      <c r="E47" s="28"/>
    </row>
    <row r="48" spans="2:10" x14ac:dyDescent="0.25">
      <c r="B48" s="29"/>
      <c r="C48" s="194"/>
      <c r="D48" s="194"/>
      <c r="E48" s="194"/>
    </row>
    <row r="49" spans="2:10" x14ac:dyDescent="0.25">
      <c r="B49" s="29" t="s">
        <v>57</v>
      </c>
      <c r="C49" s="443" t="s">
        <v>475</v>
      </c>
      <c r="D49" s="444" t="s">
        <v>476</v>
      </c>
      <c r="E49" s="87" t="s">
        <v>477</v>
      </c>
    </row>
    <row r="50" spans="2:10" x14ac:dyDescent="0.25">
      <c r="B50" s="334" t="str">
        <f>inputPrYr!B27</f>
        <v>Economic Development</v>
      </c>
      <c r="C50" s="137" t="str">
        <f>CONCATENATE("Actual for ",E1-2,"")</f>
        <v>Actual for 2024</v>
      </c>
      <c r="D50" s="137" t="str">
        <f>CONCATENATE("Estimate for ",E1-1,"")</f>
        <v>Estimate for 2025</v>
      </c>
      <c r="E50" s="122" t="str">
        <f>CONCATENATE("Year for ",E1,"")</f>
        <v>Year for 2026</v>
      </c>
    </row>
    <row r="51" spans="2:10" x14ac:dyDescent="0.25">
      <c r="B51" s="162" t="s">
        <v>133</v>
      </c>
      <c r="C51" s="167">
        <v>2002995</v>
      </c>
      <c r="D51" s="165">
        <f>C78</f>
        <v>2116126</v>
      </c>
      <c r="E51" s="140">
        <f>D78</f>
        <v>1870193</v>
      </c>
    </row>
    <row r="52" spans="2:10" x14ac:dyDescent="0.25">
      <c r="B52" s="166" t="s">
        <v>135</v>
      </c>
      <c r="C52" s="102"/>
      <c r="D52" s="102"/>
      <c r="E52" s="52"/>
    </row>
    <row r="53" spans="2:10" x14ac:dyDescent="0.25">
      <c r="B53" s="93" t="s">
        <v>58</v>
      </c>
      <c r="C53" s="167">
        <v>79140</v>
      </c>
      <c r="D53" s="165">
        <f>IF(inputPrYr!H21&gt;0,inputPrYr!G31,inputPrYr!E27)</f>
        <v>74420</v>
      </c>
      <c r="E53" s="192" t="s">
        <v>49</v>
      </c>
    </row>
    <row r="54" spans="2:10" x14ac:dyDescent="0.25">
      <c r="B54" s="93" t="s">
        <v>59</v>
      </c>
      <c r="C54" s="167">
        <v>726</v>
      </c>
      <c r="D54" s="167">
        <v>168</v>
      </c>
      <c r="E54" s="39">
        <v>0</v>
      </c>
    </row>
    <row r="55" spans="2:10" x14ac:dyDescent="0.25">
      <c r="B55" s="93" t="s">
        <v>60</v>
      </c>
      <c r="C55" s="167">
        <v>10338</v>
      </c>
      <c r="D55" s="167">
        <v>7599</v>
      </c>
      <c r="E55" s="140">
        <f>Mvalloc!D15</f>
        <v>7052</v>
      </c>
    </row>
    <row r="56" spans="2:10" x14ac:dyDescent="0.25">
      <c r="B56" s="93" t="s">
        <v>61</v>
      </c>
      <c r="C56" s="167">
        <v>124</v>
      </c>
      <c r="D56" s="167">
        <v>142</v>
      </c>
      <c r="E56" s="140">
        <f>Mvalloc!E15</f>
        <v>124</v>
      </c>
      <c r="G56" s="770" t="str">
        <f>CONCATENATE("Desired Carryover Into ",E1+1,"")</f>
        <v>Desired Carryover Into 2027</v>
      </c>
      <c r="H56" s="754"/>
      <c r="I56" s="754"/>
      <c r="J56" s="755"/>
    </row>
    <row r="57" spans="2:10" x14ac:dyDescent="0.25">
      <c r="B57" s="102" t="s">
        <v>126</v>
      </c>
      <c r="C57" s="167">
        <v>158</v>
      </c>
      <c r="D57" s="167">
        <v>138</v>
      </c>
      <c r="E57" s="140">
        <f>Mvalloc!F15</f>
        <v>108</v>
      </c>
      <c r="G57" s="384"/>
      <c r="H57" s="385"/>
      <c r="I57" s="386"/>
      <c r="J57" s="387"/>
    </row>
    <row r="58" spans="2:10" x14ac:dyDescent="0.25">
      <c r="B58" s="509" t="s">
        <v>524</v>
      </c>
      <c r="C58" s="167">
        <v>796</v>
      </c>
      <c r="D58" s="167">
        <v>655</v>
      </c>
      <c r="E58" s="140">
        <f>Mvalloc!G15</f>
        <v>566</v>
      </c>
      <c r="G58" s="388" t="s">
        <v>347</v>
      </c>
      <c r="H58" s="386"/>
      <c r="I58" s="386"/>
      <c r="J58" s="389">
        <v>0</v>
      </c>
    </row>
    <row r="59" spans="2:10" x14ac:dyDescent="0.25">
      <c r="B59" s="509" t="s">
        <v>525</v>
      </c>
      <c r="C59" s="167"/>
      <c r="D59" s="167"/>
      <c r="E59" s="140">
        <f>Mvalloc!H15</f>
        <v>0</v>
      </c>
      <c r="G59" s="384" t="s">
        <v>348</v>
      </c>
      <c r="H59" s="385"/>
      <c r="I59" s="385"/>
      <c r="J59" s="390" t="str">
        <f>IF(J58=0,"",ROUND((J58+E84-G71)/inputOth!E7*1000,3)-G76)</f>
        <v/>
      </c>
    </row>
    <row r="60" spans="2:10" x14ac:dyDescent="0.25">
      <c r="B60" s="182" t="s">
        <v>1096</v>
      </c>
      <c r="C60" s="167">
        <v>705135</v>
      </c>
      <c r="D60" s="167">
        <v>15000</v>
      </c>
      <c r="E60" s="39">
        <v>395280</v>
      </c>
      <c r="G60" s="391" t="str">
        <f>CONCATENATE("",E1," Tot Exp/Non-Appr Must Be:")</f>
        <v>2026 Tot Exp/Non-Appr Must Be:</v>
      </c>
      <c r="H60" s="392"/>
      <c r="I60" s="393"/>
      <c r="J60" s="394">
        <f>IF(J58&gt;0,IF(E81&lt;E66,IF(J58=G71,E81,((J58-G71)*(1-D83))+E66),E81+(J58-G71)),0)</f>
        <v>0</v>
      </c>
    </row>
    <row r="61" spans="2:10" x14ac:dyDescent="0.25">
      <c r="B61" s="171" t="s">
        <v>63</v>
      </c>
      <c r="C61" s="167">
        <v>115414</v>
      </c>
      <c r="D61" s="167">
        <v>90810</v>
      </c>
      <c r="E61" s="39">
        <v>81309</v>
      </c>
      <c r="G61" s="395" t="s">
        <v>421</v>
      </c>
      <c r="H61" s="396"/>
      <c r="I61" s="396"/>
      <c r="J61" s="397">
        <f>IF(J58&gt;0,J60-E81,0)</f>
        <v>0</v>
      </c>
    </row>
    <row r="62" spans="2:10" x14ac:dyDescent="0.35">
      <c r="B62" s="183" t="s">
        <v>8</v>
      </c>
      <c r="C62" s="167">
        <v>-5372</v>
      </c>
      <c r="D62" s="167">
        <v>-2841</v>
      </c>
      <c r="E62" s="140">
        <f>'NR Rebate20'!E14*-1</f>
        <v>-2436</v>
      </c>
      <c r="J62" s="2"/>
    </row>
    <row r="63" spans="2:10" x14ac:dyDescent="0.25">
      <c r="B63" s="102" t="s">
        <v>9</v>
      </c>
      <c r="C63" s="167"/>
      <c r="D63" s="167"/>
      <c r="E63" s="39"/>
      <c r="G63" s="770" t="str">
        <f>CONCATENATE("Projected Carryover Into ",E1+1,"")</f>
        <v>Projected Carryover Into 2027</v>
      </c>
      <c r="H63" s="775"/>
      <c r="I63" s="775"/>
      <c r="J63" s="772"/>
    </row>
    <row r="64" spans="2:10" x14ac:dyDescent="0.25">
      <c r="B64" s="162" t="s">
        <v>350</v>
      </c>
      <c r="C64" s="172" t="str">
        <f>IF(C65*0.1&lt;C63,"Exceed 10% Rule","")</f>
        <v/>
      </c>
      <c r="D64" s="172" t="str">
        <f>IF(D65*0.1&lt;D63,"Exceed 10% Rule","")</f>
        <v/>
      </c>
      <c r="E64" s="204" t="str">
        <f>IF(E65*0.1+E84&lt;E63,"Exceed 10% Rule","")</f>
        <v/>
      </c>
      <c r="G64" s="398"/>
      <c r="H64" s="385"/>
      <c r="I64" s="385"/>
      <c r="J64" s="405"/>
    </row>
    <row r="65" spans="2:11" x14ac:dyDescent="0.25">
      <c r="B65" s="174" t="s">
        <v>64</v>
      </c>
      <c r="C65" s="594">
        <f>SUM(C53:C63)</f>
        <v>906459</v>
      </c>
      <c r="D65" s="594">
        <f>SUM(D53:D63)</f>
        <v>186091</v>
      </c>
      <c r="E65" s="594">
        <f>SUM(E53:E63)</f>
        <v>482003</v>
      </c>
      <c r="G65" s="400">
        <f>D78</f>
        <v>1870193</v>
      </c>
      <c r="H65" s="378" t="str">
        <f>CONCATENATE("",E1-1," Ending Cash Balance (est.)")</f>
        <v>2025 Ending Cash Balance (est.)</v>
      </c>
      <c r="I65" s="401"/>
      <c r="J65" s="405"/>
    </row>
    <row r="66" spans="2:11" x14ac:dyDescent="0.25">
      <c r="B66" s="174" t="s">
        <v>65</v>
      </c>
      <c r="C66" s="594">
        <f>C51+C65</f>
        <v>2909454</v>
      </c>
      <c r="D66" s="594">
        <f>D51+D65</f>
        <v>2302217</v>
      </c>
      <c r="E66" s="594">
        <f>E51+E65</f>
        <v>2352196</v>
      </c>
      <c r="G66" s="400">
        <f>E65</f>
        <v>482003</v>
      </c>
      <c r="H66" s="386" t="str">
        <f>CONCATENATE("",E1," Non-AV Receipts (est.)")</f>
        <v>2026 Non-AV Receipts (est.)</v>
      </c>
      <c r="I66" s="401"/>
      <c r="J66" s="405"/>
    </row>
    <row r="67" spans="2:11" x14ac:dyDescent="0.3">
      <c r="B67" s="93" t="s">
        <v>67</v>
      </c>
      <c r="C67" s="183"/>
      <c r="D67" s="183"/>
      <c r="E67" s="38"/>
      <c r="G67" s="402">
        <f>IF(D83&gt;0,E82,E84)</f>
        <v>79665</v>
      </c>
      <c r="H67" s="386" t="str">
        <f>CONCATENATE("",E1," Ad Valorem Tax (est.)")</f>
        <v>2026 Ad Valorem Tax (est.)</v>
      </c>
      <c r="I67" s="401"/>
      <c r="J67" s="405"/>
      <c r="K67" s="379" t="str">
        <f>IF(G67=E84,"","Note: Does not include Delinquent Taxes")</f>
        <v/>
      </c>
    </row>
    <row r="68" spans="2:11" x14ac:dyDescent="0.25">
      <c r="B68" s="182" t="s">
        <v>1097</v>
      </c>
      <c r="C68" s="167">
        <v>711505</v>
      </c>
      <c r="D68" s="167">
        <v>345280</v>
      </c>
      <c r="E68" s="39">
        <v>2345117</v>
      </c>
      <c r="G68" s="404">
        <f>SUM(G65:G67)</f>
        <v>2431861</v>
      </c>
      <c r="H68" s="386" t="str">
        <f>CONCATENATE("Total ",E1," Resources Available")</f>
        <v>Total 2026 Resources Available</v>
      </c>
      <c r="I68" s="405"/>
      <c r="J68" s="405"/>
    </row>
    <row r="69" spans="2:11" x14ac:dyDescent="0.25">
      <c r="B69" s="182" t="s">
        <v>1098</v>
      </c>
      <c r="C69" s="167">
        <v>79</v>
      </c>
      <c r="D69" s="167">
        <v>5000</v>
      </c>
      <c r="E69" s="39">
        <v>5000</v>
      </c>
      <c r="G69" s="406"/>
      <c r="H69" s="407"/>
      <c r="I69" s="385"/>
      <c r="J69" s="405"/>
    </row>
    <row r="70" spans="2:11" x14ac:dyDescent="0.25">
      <c r="B70" s="182" t="s">
        <v>1099</v>
      </c>
      <c r="C70" s="167">
        <v>0</v>
      </c>
      <c r="D70" s="167">
        <v>0</v>
      </c>
      <c r="E70" s="39">
        <v>0</v>
      </c>
      <c r="G70" s="408">
        <f>ROUND(C77*0.05+C77,0)</f>
        <v>832994</v>
      </c>
      <c r="H70" s="407" t="str">
        <f>CONCATENATE("Less ",E1-2," Expenditures + 5%")</f>
        <v>Less 2024 Expenditures + 5%</v>
      </c>
      <c r="I70" s="405"/>
      <c r="J70" s="405"/>
    </row>
    <row r="71" spans="2:11" x14ac:dyDescent="0.35">
      <c r="B71" s="182" t="s">
        <v>1100</v>
      </c>
      <c r="C71" s="167">
        <v>81744</v>
      </c>
      <c r="D71" s="167">
        <v>81744</v>
      </c>
      <c r="E71" s="39">
        <v>81744</v>
      </c>
      <c r="G71" s="409">
        <f>G68-G70</f>
        <v>1598867</v>
      </c>
      <c r="H71" s="410" t="str">
        <f>CONCATENATE("Projected ",E1+1," carryover (est.)")</f>
        <v>Projected 2027 carryover (est.)</v>
      </c>
      <c r="I71" s="411"/>
      <c r="J71" s="412"/>
    </row>
    <row r="72" spans="2:11" x14ac:dyDescent="0.35">
      <c r="B72" s="182"/>
      <c r="C72" s="167"/>
      <c r="D72" s="167"/>
      <c r="E72" s="39"/>
      <c r="G72" s="2"/>
      <c r="H72" s="2"/>
      <c r="I72" s="2"/>
    </row>
    <row r="73" spans="2:11" x14ac:dyDescent="0.25">
      <c r="B73" s="182"/>
      <c r="C73" s="167"/>
      <c r="D73" s="167"/>
      <c r="E73" s="39"/>
      <c r="G73" s="756" t="s">
        <v>706</v>
      </c>
      <c r="H73" s="757"/>
      <c r="I73" s="757"/>
      <c r="J73" s="758"/>
    </row>
    <row r="74" spans="2:11" x14ac:dyDescent="0.25">
      <c r="B74" s="183" t="str">
        <f>CONCATENATE("Cash Reserve (",E1," column)")</f>
        <v>Cash Reserve (2026 column)</v>
      </c>
      <c r="C74" s="167"/>
      <c r="D74" s="167"/>
      <c r="E74" s="255"/>
      <c r="G74" s="759"/>
      <c r="H74" s="760"/>
      <c r="I74" s="760"/>
      <c r="J74" s="761"/>
    </row>
    <row r="75" spans="2:11" x14ac:dyDescent="0.25">
      <c r="B75" s="183" t="s">
        <v>9</v>
      </c>
      <c r="C75" s="167"/>
      <c r="D75" s="167"/>
      <c r="E75" s="39"/>
      <c r="G75" s="580">
        <f>'Budget Hearing Notice'!H23</f>
        <v>1.2190000000000001</v>
      </c>
      <c r="H75" s="378" t="str">
        <f>CONCATENATE("",E1," Estimated Fund Mill Rate")</f>
        <v>2026 Estimated Fund Mill Rate</v>
      </c>
      <c r="I75" s="581"/>
      <c r="J75" s="582"/>
    </row>
    <row r="76" spans="2:11" x14ac:dyDescent="0.25">
      <c r="B76" s="183" t="s">
        <v>351</v>
      </c>
      <c r="C76" s="172" t="str">
        <f>IF(C77*0.1&lt;C75,"Exceed 10% Rule","")</f>
        <v/>
      </c>
      <c r="D76" s="172" t="str">
        <f>IF(D77*0.1&lt;D75,"Exceed 10% Rule","")</f>
        <v/>
      </c>
      <c r="E76" s="204" t="str">
        <f>IF(E77*0.1&lt;E75,"Exceed 10% Rule","")</f>
        <v/>
      </c>
      <c r="G76" s="583">
        <f>'Budget Hearing Notice'!E23</f>
        <v>1.222</v>
      </c>
      <c r="H76" s="378" t="str">
        <f>CONCATENATE("",E1-1," Fund Mill Rate")</f>
        <v>2025 Fund Mill Rate</v>
      </c>
      <c r="I76" s="581"/>
      <c r="J76" s="582"/>
    </row>
    <row r="77" spans="2:11" x14ac:dyDescent="0.25">
      <c r="B77" s="174" t="s">
        <v>71</v>
      </c>
      <c r="C77" s="594">
        <f>SUM(C68:C75)</f>
        <v>793328</v>
      </c>
      <c r="D77" s="594">
        <f>SUM(D68:D75)</f>
        <v>432024</v>
      </c>
      <c r="E77" s="594">
        <f>SUM(E68:E75)</f>
        <v>2431861</v>
      </c>
      <c r="G77" s="584">
        <f>inputOth!D20</f>
        <v>33.582999999999998</v>
      </c>
      <c r="H77" s="585" t="s">
        <v>707</v>
      </c>
      <c r="I77" s="581"/>
      <c r="J77" s="582"/>
    </row>
    <row r="78" spans="2:11" x14ac:dyDescent="0.25">
      <c r="B78" s="93" t="s">
        <v>134</v>
      </c>
      <c r="C78" s="140">
        <f>C66-C77</f>
        <v>2116126</v>
      </c>
      <c r="D78" s="140">
        <f>D66-D77</f>
        <v>1870193</v>
      </c>
      <c r="E78" s="192" t="s">
        <v>49</v>
      </c>
      <c r="G78" s="580">
        <f>'Budget Hearing Notice'!H52</f>
        <v>34.4</v>
      </c>
      <c r="H78" s="378" t="str">
        <f>CONCATENATE(E1," Estimated Total Mill Rate")</f>
        <v>2026 Estimated Total Mill Rate</v>
      </c>
      <c r="I78" s="581"/>
      <c r="J78" s="582"/>
    </row>
    <row r="79" spans="2:11" x14ac:dyDescent="0.25">
      <c r="B79" s="108" t="str">
        <f>CONCATENATE("",E1-2,"/",E1-1,"/",E1," Budget Authority Amount:")</f>
        <v>2024/2025/2026 Budget Authority Amount:</v>
      </c>
      <c r="C79" s="447">
        <f>inputOth!B71</f>
        <v>2561214</v>
      </c>
      <c r="D79" s="447">
        <f>inputPrYr!D27</f>
        <v>2537194</v>
      </c>
      <c r="E79" s="140">
        <f>E77</f>
        <v>2431861</v>
      </c>
      <c r="G79" s="586">
        <f>'Budget Hearing Notice'!E52</f>
        <v>34.4</v>
      </c>
      <c r="H79" s="378" t="str">
        <f>CONCATENATE(E1-1," Total Mill Rate")</f>
        <v>2025 Total Mill Rate</v>
      </c>
      <c r="I79" s="581"/>
      <c r="J79" s="582"/>
    </row>
    <row r="80" spans="2:11" x14ac:dyDescent="0.25">
      <c r="B80" s="80"/>
      <c r="C80" s="749" t="s">
        <v>319</v>
      </c>
      <c r="D80" s="750"/>
      <c r="E80" s="39"/>
      <c r="G80" s="398"/>
      <c r="H80" s="385"/>
      <c r="I80" s="385"/>
      <c r="J80" s="405"/>
    </row>
    <row r="81" spans="2:10" x14ac:dyDescent="0.25">
      <c r="B81" s="331" t="str">
        <f>CONCATENATE(C104,"     ",D104)</f>
        <v xml:space="preserve">     </v>
      </c>
      <c r="C81" s="751" t="s">
        <v>320</v>
      </c>
      <c r="D81" s="752"/>
      <c r="E81" s="140">
        <f>E77+E80</f>
        <v>2431861</v>
      </c>
      <c r="G81" s="762" t="s">
        <v>708</v>
      </c>
      <c r="H81" s="763"/>
      <c r="I81" s="763"/>
      <c r="J81" s="766" t="str">
        <f>IF(G78&gt;G77, "Yes", "No")</f>
        <v>Yes</v>
      </c>
    </row>
    <row r="82" spans="2:10" x14ac:dyDescent="0.25">
      <c r="B82" s="331" t="str">
        <f>CONCATENATE(C105,"     ",D105)</f>
        <v xml:space="preserve">     </v>
      </c>
      <c r="C82" s="185"/>
      <c r="D82" s="107" t="s">
        <v>72</v>
      </c>
      <c r="E82" s="140">
        <f>IF(E81-E66&gt;0,E81-E66,0)</f>
        <v>79665</v>
      </c>
      <c r="G82" s="764"/>
      <c r="H82" s="765"/>
      <c r="I82" s="765"/>
      <c r="J82" s="767"/>
    </row>
    <row r="83" spans="2:10" x14ac:dyDescent="0.25">
      <c r="B83" s="80"/>
      <c r="C83" s="257" t="s">
        <v>318</v>
      </c>
      <c r="D83" s="451">
        <f>inputOth!$E$50</f>
        <v>0</v>
      </c>
      <c r="E83" s="140">
        <f>ROUND(IF(D83&gt;0,(E82*D83),0),0)</f>
        <v>0</v>
      </c>
      <c r="G83" s="768" t="str">
        <f>IF(J81="Yes", "Follow procedure prescribed by KSA 79-2988 to exceed the Revenue Neutral Rate.", " ")</f>
        <v>Follow procedure prescribed by KSA 79-2988 to exceed the Revenue Neutral Rate.</v>
      </c>
      <c r="H83" s="768"/>
      <c r="I83" s="768"/>
      <c r="J83" s="768"/>
    </row>
    <row r="84" spans="2:10" ht="16" thickBot="1" x14ac:dyDescent="0.3">
      <c r="B84" s="107"/>
      <c r="C84" s="726" t="str">
        <f>CONCATENATE("Amount of  ",$E$1-1," Ad Valorem Tax")</f>
        <v>Amount of  2025 Ad Valorem Tax</v>
      </c>
      <c r="D84" s="753"/>
      <c r="E84" s="383">
        <f>E82+E83</f>
        <v>79665</v>
      </c>
      <c r="G84" s="769"/>
      <c r="H84" s="769"/>
      <c r="I84" s="769"/>
      <c r="J84" s="769"/>
    </row>
    <row r="85" spans="2:10" ht="16" thickTop="1" x14ac:dyDescent="0.25">
      <c r="B85" s="28"/>
      <c r="C85" s="28"/>
      <c r="D85" s="28"/>
      <c r="E85" s="28"/>
      <c r="F85" s="184"/>
      <c r="G85" s="769"/>
      <c r="H85" s="769"/>
      <c r="I85" s="769"/>
      <c r="J85" s="769"/>
    </row>
    <row r="86" spans="2:10" x14ac:dyDescent="0.25">
      <c r="B86" s="540" t="s">
        <v>535</v>
      </c>
      <c r="C86" s="69"/>
      <c r="D86" s="69"/>
      <c r="E86" s="512"/>
      <c r="F86" s="452" t="str">
        <f>IF(E77/0.95-E77&lt;E80,"Exceeds 5%","")</f>
        <v/>
      </c>
    </row>
    <row r="87" spans="2:10" x14ac:dyDescent="0.25">
      <c r="B87" s="398"/>
      <c r="C87" s="28"/>
      <c r="D87" s="28"/>
      <c r="E87" s="405"/>
    </row>
    <row r="88" spans="2:10" x14ac:dyDescent="0.25">
      <c r="B88" s="515"/>
      <c r="C88" s="43"/>
      <c r="D88" s="43"/>
      <c r="E88" s="49"/>
    </row>
    <row r="89" spans="2:10" x14ac:dyDescent="0.25">
      <c r="B89" s="28"/>
      <c r="C89" s="28"/>
      <c r="D89" s="28"/>
      <c r="E89" s="28"/>
    </row>
    <row r="90" spans="2:10" x14ac:dyDescent="0.25">
      <c r="B90" s="274" t="s">
        <v>74</v>
      </c>
      <c r="C90" s="465">
        <v>11</v>
      </c>
      <c r="D90" s="28"/>
      <c r="E90" s="28"/>
    </row>
    <row r="102" spans="3:4" x14ac:dyDescent="0.25">
      <c r="C102" s="330" t="str">
        <f>IF(C39&gt;C41,"See Tab A","")</f>
        <v/>
      </c>
      <c r="D102" s="330" t="str">
        <f>IF(D37&gt;D41,"See Tab C","")</f>
        <v/>
      </c>
    </row>
    <row r="103" spans="3:4" x14ac:dyDescent="0.25">
      <c r="C103" s="330" t="str">
        <f>IF(C40&lt;0,"See Tab B","")</f>
        <v/>
      </c>
      <c r="D103" s="330" t="str">
        <f>IF(D40&lt;0,"See Tab D","")</f>
        <v/>
      </c>
    </row>
    <row r="104" spans="3:4" hidden="1" x14ac:dyDescent="0.25">
      <c r="C104" s="330" t="str">
        <f>IF(C75&gt;C79,"See Tab A","")</f>
        <v/>
      </c>
      <c r="D104" s="330" t="str">
        <f>IF(D75&gt;D79,"See Tab C","")</f>
        <v/>
      </c>
    </row>
    <row r="105" spans="3:4" hidden="1" x14ac:dyDescent="0.25">
      <c r="C105" s="330" t="str">
        <f>IF(C78&lt;0,"See Tab B","")</f>
        <v/>
      </c>
      <c r="D105" s="330" t="str">
        <f>IF(D78&lt;0,"See Tab D","")</f>
        <v/>
      </c>
    </row>
    <row r="106" spans="3:4" hidden="1" x14ac:dyDescent="0.25"/>
    <row r="107" spans="3:4" hidden="1" x14ac:dyDescent="0.25"/>
  </sheetData>
  <mergeCells count="18">
    <mergeCell ref="C84:D84"/>
    <mergeCell ref="C46:D46"/>
    <mergeCell ref="C42:D42"/>
    <mergeCell ref="C43:D43"/>
    <mergeCell ref="C80:D80"/>
    <mergeCell ref="C81:D81"/>
    <mergeCell ref="G81:I82"/>
    <mergeCell ref="J81:J82"/>
    <mergeCell ref="G83:J85"/>
    <mergeCell ref="G8:J8"/>
    <mergeCell ref="G19:J19"/>
    <mergeCell ref="G56:J56"/>
    <mergeCell ref="G63:J63"/>
    <mergeCell ref="G31:J32"/>
    <mergeCell ref="G39:I40"/>
    <mergeCell ref="J39:J40"/>
    <mergeCell ref="G41:J43"/>
    <mergeCell ref="G73:J74"/>
  </mergeCells>
  <phoneticPr fontId="0" type="noConversion"/>
  <conditionalFormatting sqref="C23">
    <cfRule type="cellIs" dxfId="257" priority="20" stopIfTrue="1" operator="greaterThan">
      <formula>$C$25*0.1</formula>
    </cfRule>
  </conditionalFormatting>
  <conditionalFormatting sqref="C37">
    <cfRule type="cellIs" dxfId="256" priority="10" stopIfTrue="1" operator="greaterThan">
      <formula>$C$39*0.1</formula>
    </cfRule>
  </conditionalFormatting>
  <conditionalFormatting sqref="C63">
    <cfRule type="cellIs" dxfId="255" priority="22" stopIfTrue="1" operator="greaterThan">
      <formula>$C$65*0.1</formula>
    </cfRule>
  </conditionalFormatting>
  <conditionalFormatting sqref="C75">
    <cfRule type="cellIs" dxfId="254" priority="15" stopIfTrue="1" operator="greaterThan">
      <formula>$C$77*0.1</formula>
    </cfRule>
  </conditionalFormatting>
  <conditionalFormatting sqref="D23">
    <cfRule type="cellIs" dxfId="253" priority="19" stopIfTrue="1" operator="greaterThan">
      <formula>$D$25*0.1</formula>
    </cfRule>
  </conditionalFormatting>
  <conditionalFormatting sqref="D37">
    <cfRule type="cellIs" dxfId="252" priority="11" stopIfTrue="1" operator="greaterThan">
      <formula>$D$39*0.1</formula>
    </cfRule>
  </conditionalFormatting>
  <conditionalFormatting sqref="D63">
    <cfRule type="cellIs" dxfId="251" priority="21" stopIfTrue="1" operator="greaterThan">
      <formula>$D$65*0.1</formula>
    </cfRule>
  </conditionalFormatting>
  <conditionalFormatting sqref="D75">
    <cfRule type="cellIs" dxfId="250" priority="16" stopIfTrue="1" operator="greaterThan">
      <formula>$D$77*0.1</formula>
    </cfRule>
  </conditionalFormatting>
  <conditionalFormatting sqref="E23">
    <cfRule type="cellIs" dxfId="249" priority="23" stopIfTrue="1" operator="greaterThan">
      <formula>$E$25*0.1+E46</formula>
    </cfRule>
  </conditionalFormatting>
  <conditionalFormatting sqref="E37">
    <cfRule type="cellIs" dxfId="248" priority="6" stopIfTrue="1" operator="greaterThan">
      <formula>$E$39*0.1</formula>
    </cfRule>
  </conditionalFormatting>
  <conditionalFormatting sqref="E42">
    <cfRule type="cellIs" dxfId="247" priority="7" stopIfTrue="1" operator="greaterThan">
      <formula>$E$39/0.95-$E$39</formula>
    </cfRule>
  </conditionalFormatting>
  <conditionalFormatting sqref="E63">
    <cfRule type="cellIs" dxfId="246" priority="27" stopIfTrue="1" operator="greaterThan">
      <formula>$E$65*0.1+$E$84</formula>
    </cfRule>
  </conditionalFormatting>
  <conditionalFormatting sqref="E75">
    <cfRule type="cellIs" dxfId="245" priority="8" stopIfTrue="1" operator="greaterThan">
      <formula>$E$77*0.1</formula>
    </cfRule>
  </conditionalFormatting>
  <conditionalFormatting sqref="E80">
    <cfRule type="cellIs" dxfId="244" priority="9" stopIfTrue="1" operator="greaterThan">
      <formula>$E$77/0.95-$E$77</formula>
    </cfRule>
  </conditionalFormatting>
  <conditionalFormatting sqref="J39">
    <cfRule type="containsText" dxfId="243" priority="2" operator="containsText" text="Yes">
      <formula>NOT(ISERROR(SEARCH("Yes",J39)))</formula>
    </cfRule>
  </conditionalFormatting>
  <conditionalFormatting sqref="J81">
    <cfRule type="containsText" dxfId="242" priority="1" operator="containsText" text="Yes">
      <formula>NOT(ISERROR(SEARCH("Yes",J81)))</formula>
    </cfRule>
  </conditionalFormatting>
  <pageMargins left="0.5" right="0.5" top="1" bottom="0.5" header="0.5" footer="0.5"/>
  <pageSetup scale="47" orientation="portrait" blackAndWhite="1" r:id="rId1"/>
  <headerFooter alignWithMargins="0">
    <oddHeader>&amp;RState of Kansas
City</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DD571"/>
    <pageSetUpPr fitToPage="1"/>
  </sheetPr>
  <dimension ref="A1:H126"/>
  <sheetViews>
    <sheetView topLeftCell="A28" workbookViewId="0">
      <selection activeCell="D44" sqref="D44"/>
    </sheetView>
  </sheetViews>
  <sheetFormatPr defaultColWidth="8.9140625" defaultRowHeight="15.5" x14ac:dyDescent="0.25"/>
  <cols>
    <col min="1" max="1" width="15.75" style="26" customWidth="1"/>
    <col min="2" max="2" width="20.75" style="26" customWidth="1"/>
    <col min="3" max="3" width="9.75" style="26" customWidth="1"/>
    <col min="4" max="4" width="15.08203125" style="26" customWidth="1"/>
    <col min="5" max="5" width="15.75" style="26" customWidth="1"/>
    <col min="6" max="6" width="1.9140625" style="26" customWidth="1"/>
    <col min="7" max="7" width="18.6640625" style="26" customWidth="1"/>
    <col min="8" max="16384" width="8.9140625" style="26"/>
  </cols>
  <sheetData>
    <row r="1" spans="1:8" x14ac:dyDescent="0.25">
      <c r="A1" s="685" t="s">
        <v>505</v>
      </c>
      <c r="B1" s="686"/>
      <c r="C1" s="686"/>
      <c r="D1" s="686"/>
      <c r="E1" s="686"/>
    </row>
    <row r="2" spans="1:8" x14ac:dyDescent="0.25">
      <c r="A2" s="29"/>
      <c r="B2" s="28"/>
      <c r="C2" s="28"/>
      <c r="D2" s="30"/>
      <c r="E2" s="28"/>
    </row>
    <row r="3" spans="1:8" x14ac:dyDescent="0.25">
      <c r="A3" s="466" t="s">
        <v>506</v>
      </c>
      <c r="B3" s="28"/>
      <c r="C3" s="28"/>
      <c r="D3" s="694" t="s">
        <v>970</v>
      </c>
      <c r="E3" s="695"/>
    </row>
    <row r="4" spans="1:8" x14ac:dyDescent="0.25">
      <c r="A4" s="466" t="s">
        <v>507</v>
      </c>
      <c r="B4" s="28"/>
      <c r="C4" s="28"/>
      <c r="D4" s="694" t="s">
        <v>971</v>
      </c>
      <c r="E4" s="695"/>
    </row>
    <row r="5" spans="1:8" x14ac:dyDescent="0.25">
      <c r="A5" s="467"/>
      <c r="B5" s="28"/>
      <c r="C5" s="28"/>
      <c r="D5" s="30"/>
      <c r="E5" s="28"/>
    </row>
    <row r="6" spans="1:8" x14ac:dyDescent="0.25">
      <c r="A6" s="466" t="s">
        <v>508</v>
      </c>
      <c r="B6" s="28"/>
      <c r="C6" s="31">
        <v>2026</v>
      </c>
      <c r="D6" s="30"/>
      <c r="E6" s="28"/>
    </row>
    <row r="7" spans="1:8" x14ac:dyDescent="0.25">
      <c r="A7" s="466"/>
      <c r="B7" s="28"/>
      <c r="C7" s="28"/>
      <c r="D7" s="30"/>
      <c r="E7" s="28"/>
    </row>
    <row r="8" spans="1:8" x14ac:dyDescent="0.25">
      <c r="A8" s="687" t="s">
        <v>509</v>
      </c>
      <c r="B8" s="687"/>
      <c r="C8" s="687"/>
      <c r="D8" s="687"/>
      <c r="E8" s="687"/>
    </row>
    <row r="9" spans="1:8" x14ac:dyDescent="0.25">
      <c r="A9" s="687"/>
      <c r="B9" s="687"/>
      <c r="C9" s="687"/>
      <c r="D9" s="687"/>
      <c r="E9" s="687"/>
    </row>
    <row r="10" spans="1:8" x14ac:dyDescent="0.25">
      <c r="A10" s="687"/>
      <c r="B10" s="687"/>
      <c r="C10" s="687"/>
      <c r="D10" s="687"/>
      <c r="E10" s="687"/>
    </row>
    <row r="11" spans="1:8" x14ac:dyDescent="0.25">
      <c r="A11" s="683" t="s">
        <v>511</v>
      </c>
      <c r="B11" s="684"/>
      <c r="C11" s="684"/>
      <c r="D11" s="684"/>
      <c r="E11" s="684"/>
    </row>
    <row r="12" spans="1:8" x14ac:dyDescent="0.25">
      <c r="A12" s="28"/>
      <c r="B12" s="28"/>
      <c r="C12" s="28"/>
      <c r="D12" s="28"/>
      <c r="E12" s="28"/>
    </row>
    <row r="13" spans="1:8" ht="15.75" customHeight="1" x14ac:dyDescent="0.25">
      <c r="A13" s="469" t="s">
        <v>210</v>
      </c>
      <c r="B13" s="470"/>
      <c r="C13" s="28"/>
      <c r="D13" s="28"/>
      <c r="E13" s="28"/>
      <c r="F13" s="28"/>
      <c r="G13" s="688" t="s">
        <v>510</v>
      </c>
      <c r="H13" s="689"/>
    </row>
    <row r="14" spans="1:8" x14ac:dyDescent="0.25">
      <c r="A14" s="471" t="str">
        <f>CONCATENATE("the ",C6-1," Budget, Certificate Page:")</f>
        <v>the 2025 Budget, Certificate Page:</v>
      </c>
      <c r="B14" s="472"/>
      <c r="C14" s="28"/>
      <c r="D14" s="28"/>
      <c r="E14" s="28"/>
      <c r="F14" s="28"/>
      <c r="G14" s="690"/>
      <c r="H14" s="691"/>
    </row>
    <row r="15" spans="1:8" x14ac:dyDescent="0.25">
      <c r="A15" s="473" t="s">
        <v>262</v>
      </c>
      <c r="B15" s="474"/>
      <c r="C15" s="28"/>
      <c r="D15" s="28"/>
      <c r="E15" s="28"/>
      <c r="F15" s="28"/>
      <c r="G15" s="690"/>
      <c r="H15" s="691"/>
    </row>
    <row r="16" spans="1:8" x14ac:dyDescent="0.25">
      <c r="A16" s="28"/>
      <c r="B16" s="28"/>
      <c r="C16" s="28"/>
      <c r="D16" s="34">
        <f>C6-1</f>
        <v>2025</v>
      </c>
      <c r="E16" s="34">
        <f>C6-2</f>
        <v>2024</v>
      </c>
      <c r="F16" s="28"/>
      <c r="G16" s="690"/>
      <c r="H16" s="691"/>
    </row>
    <row r="17" spans="1:8" x14ac:dyDescent="0.25">
      <c r="A17" s="29" t="s">
        <v>31</v>
      </c>
      <c r="B17" s="28"/>
      <c r="C17" s="35" t="s">
        <v>32</v>
      </c>
      <c r="D17" s="36" t="s">
        <v>261</v>
      </c>
      <c r="E17" s="36" t="s">
        <v>29</v>
      </c>
      <c r="F17" s="28"/>
      <c r="G17" s="690"/>
      <c r="H17" s="691"/>
    </row>
    <row r="18" spans="1:8" x14ac:dyDescent="0.25">
      <c r="A18" s="28"/>
      <c r="B18" s="37" t="s">
        <v>33</v>
      </c>
      <c r="C18" s="99" t="s">
        <v>136</v>
      </c>
      <c r="D18" s="502">
        <v>5184704</v>
      </c>
      <c r="E18" s="502">
        <v>848732</v>
      </c>
      <c r="F18" s="28"/>
      <c r="G18" s="690"/>
      <c r="H18" s="691"/>
    </row>
    <row r="19" spans="1:8" x14ac:dyDescent="0.25">
      <c r="A19" s="28"/>
      <c r="B19" s="37" t="s">
        <v>16</v>
      </c>
      <c r="C19" s="99" t="s">
        <v>160</v>
      </c>
      <c r="D19" s="502">
        <v>1235884</v>
      </c>
      <c r="E19" s="502">
        <v>0</v>
      </c>
      <c r="F19" s="28"/>
      <c r="G19" s="692"/>
      <c r="H19" s="693"/>
    </row>
    <row r="20" spans="1:8" x14ac:dyDescent="0.25">
      <c r="A20" s="28"/>
      <c r="B20" s="37" t="s">
        <v>416</v>
      </c>
      <c r="C20" s="99" t="s">
        <v>417</v>
      </c>
      <c r="D20" s="39">
        <v>352883</v>
      </c>
      <c r="E20" s="502">
        <v>335622</v>
      </c>
      <c r="F20" s="468"/>
      <c r="G20" s="114" t="s">
        <v>415</v>
      </c>
      <c r="H20" s="99" t="s">
        <v>73</v>
      </c>
    </row>
    <row r="21" spans="1:8" x14ac:dyDescent="0.25">
      <c r="A21" s="29" t="s">
        <v>34</v>
      </c>
      <c r="B21" s="28"/>
      <c r="C21" s="28"/>
      <c r="D21" s="28"/>
      <c r="E21" s="503"/>
      <c r="F21" s="468"/>
      <c r="G21" s="92" t="str">
        <f>CONCATENATE("",E16," Ad Valorem Tax")</f>
        <v>2024 Ad Valorem Tax</v>
      </c>
      <c r="H21" s="369">
        <v>0.03</v>
      </c>
    </row>
    <row r="22" spans="1:8" x14ac:dyDescent="0.25">
      <c r="A22" s="28"/>
      <c r="B22" s="511" t="s">
        <v>972</v>
      </c>
      <c r="C22" s="256" t="s">
        <v>973</v>
      </c>
      <c r="D22" s="502">
        <v>390860</v>
      </c>
      <c r="E22" s="502">
        <v>200271</v>
      </c>
      <c r="F22" s="468"/>
      <c r="G22" s="140">
        <f>IF(H21&gt;0,ROUND(E18-(E18*H21),0),0)</f>
        <v>823270</v>
      </c>
    </row>
    <row r="23" spans="1:8" x14ac:dyDescent="0.25">
      <c r="A23" s="28"/>
      <c r="B23" s="510" t="s">
        <v>974</v>
      </c>
      <c r="C23" s="256" t="s">
        <v>975</v>
      </c>
      <c r="D23" s="39">
        <v>17032</v>
      </c>
      <c r="E23" s="502">
        <v>7360</v>
      </c>
      <c r="F23" s="468"/>
      <c r="G23" s="140">
        <f>IF(H21&gt;0,ROUND(E19-(E19*H21),0),0)</f>
        <v>0</v>
      </c>
    </row>
    <row r="24" spans="1:8" x14ac:dyDescent="0.25">
      <c r="A24" s="28"/>
      <c r="B24" s="510" t="s">
        <v>977</v>
      </c>
      <c r="C24" s="256" t="s">
        <v>976</v>
      </c>
      <c r="D24" s="39">
        <v>121200</v>
      </c>
      <c r="E24" s="502">
        <v>51421</v>
      </c>
      <c r="F24" s="468"/>
      <c r="G24" s="140">
        <f>IF(H21&gt;0,ROUND(E20-(E20*H21),0),0)</f>
        <v>325553</v>
      </c>
    </row>
    <row r="25" spans="1:8" x14ac:dyDescent="0.25">
      <c r="A25" s="28"/>
      <c r="B25" s="510" t="s">
        <v>978</v>
      </c>
      <c r="C25" s="256" t="s">
        <v>979</v>
      </c>
      <c r="D25" s="39">
        <v>60523</v>
      </c>
      <c r="E25" s="502">
        <v>60380</v>
      </c>
      <c r="F25" s="468"/>
      <c r="G25" s="40"/>
    </row>
    <row r="26" spans="1:8" x14ac:dyDescent="0.25">
      <c r="A26" s="28"/>
      <c r="B26" s="510" t="s">
        <v>11</v>
      </c>
      <c r="C26" s="256" t="s">
        <v>980</v>
      </c>
      <c r="D26" s="39">
        <v>1894792</v>
      </c>
      <c r="E26" s="502">
        <v>579225</v>
      </c>
      <c r="F26" s="468"/>
      <c r="G26" s="140">
        <f>IF(H21&gt;0,ROUND(E22-(E22*H21),0),0)</f>
        <v>194263</v>
      </c>
    </row>
    <row r="27" spans="1:8" x14ac:dyDescent="0.25">
      <c r="A27" s="28"/>
      <c r="B27" s="510" t="s">
        <v>981</v>
      </c>
      <c r="C27" s="256" t="s">
        <v>982</v>
      </c>
      <c r="D27" s="39">
        <v>2537194</v>
      </c>
      <c r="E27" s="502">
        <v>76722</v>
      </c>
      <c r="F27" s="468"/>
      <c r="G27" s="140">
        <f>IF(H21&gt;0,ROUND(E23-(E23*H21),0),0)</f>
        <v>7139</v>
      </c>
    </row>
    <row r="28" spans="1:8" x14ac:dyDescent="0.25">
      <c r="A28" s="28"/>
      <c r="B28" s="510"/>
      <c r="C28" s="256"/>
      <c r="D28" s="39"/>
      <c r="E28" s="502"/>
      <c r="F28" s="468"/>
      <c r="G28" s="140">
        <f>IF(H21&gt;0,ROUND(E24-(E24*H21),0),0)</f>
        <v>49878</v>
      </c>
    </row>
    <row r="29" spans="1:8" x14ac:dyDescent="0.25">
      <c r="A29" s="28"/>
      <c r="B29" s="510"/>
      <c r="C29" s="256"/>
      <c r="D29" s="39"/>
      <c r="E29" s="502"/>
      <c r="F29" s="468"/>
      <c r="G29" s="140">
        <f>IF(H21&gt;0,ROUND(E25-(E25*H21),0),0)</f>
        <v>58569</v>
      </c>
    </row>
    <row r="30" spans="1:8" x14ac:dyDescent="0.25">
      <c r="A30" s="28"/>
      <c r="B30" s="510"/>
      <c r="C30" s="256"/>
      <c r="D30" s="39"/>
      <c r="E30" s="502"/>
      <c r="F30" s="468"/>
      <c r="G30" s="140">
        <f>IF(H21&gt;0,ROUND(E26-(E26*H21),0),0)</f>
        <v>561848</v>
      </c>
    </row>
    <row r="31" spans="1:8" x14ac:dyDescent="0.25">
      <c r="A31" s="28"/>
      <c r="B31" s="510"/>
      <c r="C31" s="256"/>
      <c r="D31" s="39"/>
      <c r="E31" s="502"/>
      <c r="F31" s="468"/>
      <c r="G31" s="140">
        <f>IF(H21&gt;0,ROUND(E27-(E27*H21),0),0)</f>
        <v>74420</v>
      </c>
    </row>
    <row r="32" spans="1:8" x14ac:dyDescent="0.25">
      <c r="A32" s="42" t="str">
        <f>CONCATENATE("Total Tax Levy Funds for ",C6-1," Budgeted Year")</f>
        <v>Total Tax Levy Funds for 2025 Budgeted Year</v>
      </c>
      <c r="B32" s="43"/>
      <c r="C32" s="44"/>
      <c r="D32" s="45"/>
      <c r="E32" s="46">
        <f>SUM(E18:E31)</f>
        <v>2159733</v>
      </c>
      <c r="F32" s="468"/>
      <c r="G32" s="140">
        <f>IF(H21&gt;0,ROUND(E28-(E28*H21),0),0)</f>
        <v>0</v>
      </c>
    </row>
    <row r="33" spans="1:7" x14ac:dyDescent="0.25">
      <c r="A33" s="29"/>
      <c r="B33" s="28"/>
      <c r="C33" s="28"/>
      <c r="D33" s="47"/>
      <c r="E33" s="40"/>
      <c r="F33" s="468"/>
      <c r="G33" s="140">
        <f>IF(H21&gt;0,ROUND(E29-(E29*H21),0),0)</f>
        <v>0</v>
      </c>
    </row>
    <row r="34" spans="1:7" x14ac:dyDescent="0.25">
      <c r="A34" s="29" t="s">
        <v>165</v>
      </c>
      <c r="B34" s="28"/>
      <c r="C34" s="28"/>
      <c r="D34" s="28"/>
      <c r="E34" s="28"/>
      <c r="F34" s="468"/>
      <c r="G34" s="140">
        <f>IF(H21&gt;0,ROUND(E30-(E30*H21),0),0)</f>
        <v>0</v>
      </c>
    </row>
    <row r="35" spans="1:7" x14ac:dyDescent="0.25">
      <c r="A35" s="28"/>
      <c r="B35" s="38" t="s">
        <v>128</v>
      </c>
      <c r="C35" s="28"/>
      <c r="D35" s="39">
        <v>1058900</v>
      </c>
      <c r="E35" s="28"/>
      <c r="F35" s="468"/>
      <c r="G35" s="140">
        <f>IF(H21&gt;0,ROUND(E31-(E31*H21),0),0)</f>
        <v>0</v>
      </c>
    </row>
    <row r="36" spans="1:7" x14ac:dyDescent="0.25">
      <c r="A36" s="28"/>
      <c r="B36" s="41" t="s">
        <v>983</v>
      </c>
      <c r="C36" s="28"/>
      <c r="D36" s="39">
        <v>8286780</v>
      </c>
      <c r="E36" s="28"/>
    </row>
    <row r="37" spans="1:7" x14ac:dyDescent="0.25">
      <c r="A37" s="28"/>
      <c r="B37" s="41" t="s">
        <v>984</v>
      </c>
      <c r="C37" s="28"/>
      <c r="D37" s="39">
        <v>1905344</v>
      </c>
      <c r="E37" s="28"/>
    </row>
    <row r="38" spans="1:7" x14ac:dyDescent="0.25">
      <c r="A38" s="28"/>
      <c r="B38" s="41" t="s">
        <v>985</v>
      </c>
      <c r="C38" s="28"/>
      <c r="D38" s="39">
        <v>1597403</v>
      </c>
      <c r="E38" s="28"/>
    </row>
    <row r="39" spans="1:7" x14ac:dyDescent="0.25">
      <c r="A39" s="28"/>
      <c r="B39" s="41" t="s">
        <v>986</v>
      </c>
      <c r="C39" s="28"/>
      <c r="D39" s="39">
        <v>864359</v>
      </c>
      <c r="E39" s="28"/>
    </row>
    <row r="40" spans="1:7" x14ac:dyDescent="0.25">
      <c r="A40" s="28"/>
      <c r="B40" s="41" t="s">
        <v>987</v>
      </c>
      <c r="C40" s="28"/>
      <c r="D40" s="39">
        <v>357560</v>
      </c>
      <c r="E40" s="28"/>
    </row>
    <row r="41" spans="1:7" x14ac:dyDescent="0.25">
      <c r="A41" s="28"/>
      <c r="B41" s="41" t="s">
        <v>988</v>
      </c>
      <c r="C41" s="28"/>
      <c r="D41" s="39">
        <v>166735</v>
      </c>
      <c r="E41" s="28"/>
    </row>
    <row r="42" spans="1:7" x14ac:dyDescent="0.25">
      <c r="A42" s="28"/>
      <c r="B42" s="41" t="s">
        <v>989</v>
      </c>
      <c r="C42" s="28"/>
      <c r="D42" s="39">
        <v>154000</v>
      </c>
      <c r="E42" s="28"/>
    </row>
    <row r="43" spans="1:7" x14ac:dyDescent="0.25">
      <c r="A43" s="28"/>
      <c r="B43" s="41" t="s">
        <v>990</v>
      </c>
      <c r="C43" s="28"/>
      <c r="D43" s="39">
        <v>68698</v>
      </c>
      <c r="E43" s="28"/>
    </row>
    <row r="44" spans="1:7" x14ac:dyDescent="0.25">
      <c r="A44" s="28"/>
      <c r="B44" s="41" t="s">
        <v>1164</v>
      </c>
      <c r="C44" s="28"/>
      <c r="D44" s="39">
        <v>0</v>
      </c>
      <c r="E44" s="28"/>
    </row>
    <row r="45" spans="1:7" x14ac:dyDescent="0.25">
      <c r="A45" s="28"/>
      <c r="B45" s="48"/>
      <c r="C45" s="28"/>
      <c r="D45" s="39"/>
      <c r="E45" s="28"/>
    </row>
    <row r="46" spans="1:7" x14ac:dyDescent="0.25">
      <c r="A46" s="28"/>
      <c r="B46" s="48"/>
      <c r="C46" s="28"/>
      <c r="D46" s="39"/>
      <c r="E46" s="28"/>
    </row>
    <row r="47" spans="1:7" x14ac:dyDescent="0.25">
      <c r="A47" s="28"/>
      <c r="B47" s="48"/>
      <c r="C47" s="28"/>
      <c r="D47" s="39"/>
      <c r="E47" s="28"/>
    </row>
    <row r="48" spans="1:7" x14ac:dyDescent="0.25">
      <c r="A48" s="28"/>
      <c r="B48" s="48"/>
      <c r="C48" s="28"/>
      <c r="D48" s="39"/>
      <c r="E48" s="28"/>
    </row>
    <row r="49" spans="1:5" x14ac:dyDescent="0.25">
      <c r="A49" s="28"/>
      <c r="B49" s="48"/>
      <c r="C49" s="28"/>
      <c r="D49" s="39"/>
      <c r="E49" s="28"/>
    </row>
    <row r="50" spans="1:5" x14ac:dyDescent="0.25">
      <c r="A50" s="28"/>
      <c r="B50" s="48"/>
      <c r="C50" s="28"/>
      <c r="D50" s="39"/>
      <c r="E50" s="28"/>
    </row>
    <row r="51" spans="1:5" x14ac:dyDescent="0.25">
      <c r="A51" s="28" t="s">
        <v>189</v>
      </c>
      <c r="B51" s="481"/>
      <c r="C51" s="28"/>
      <c r="D51" s="28"/>
      <c r="E51" s="28"/>
    </row>
    <row r="52" spans="1:5" x14ac:dyDescent="0.25">
      <c r="A52" s="28">
        <v>1</v>
      </c>
      <c r="B52" s="480"/>
      <c r="C52" s="28"/>
      <c r="D52" s="39"/>
      <c r="E52" s="28"/>
    </row>
    <row r="53" spans="1:5" x14ac:dyDescent="0.25">
      <c r="A53" s="28">
        <v>2</v>
      </c>
      <c r="B53" s="48"/>
      <c r="C53" s="28"/>
      <c r="D53" s="39"/>
      <c r="E53" s="28"/>
    </row>
    <row r="54" spans="1:5" x14ac:dyDescent="0.25">
      <c r="A54" s="28">
        <v>3</v>
      </c>
      <c r="B54" s="48"/>
      <c r="C54" s="28"/>
      <c r="D54" s="39"/>
      <c r="E54" s="28"/>
    </row>
    <row r="55" spans="1:5" x14ac:dyDescent="0.25">
      <c r="A55" s="28">
        <v>4</v>
      </c>
      <c r="B55" s="48"/>
      <c r="C55" s="28"/>
      <c r="D55" s="39"/>
      <c r="E55" s="28"/>
    </row>
    <row r="56" spans="1:5" x14ac:dyDescent="0.25">
      <c r="A56" s="42" t="str">
        <f>CONCATENATE("Total Expenditures for ",C6-1," Budgeted Year")</f>
        <v>Total Expenditures for 2025 Budgeted Year</v>
      </c>
      <c r="B56" s="481"/>
      <c r="C56" s="49"/>
      <c r="D56" s="50">
        <f>SUM(D18:D20,D22:D31,D35:D50,D52:D55)</f>
        <v>26254851</v>
      </c>
      <c r="E56" s="28"/>
    </row>
    <row r="57" spans="1:5" x14ac:dyDescent="0.25">
      <c r="A57" s="28" t="s">
        <v>190</v>
      </c>
      <c r="B57" s="481"/>
      <c r="C57" s="28"/>
      <c r="D57" s="28"/>
      <c r="E57" s="28"/>
    </row>
    <row r="58" spans="1:5" x14ac:dyDescent="0.25">
      <c r="A58" s="28">
        <v>1</v>
      </c>
      <c r="B58" s="480" t="s">
        <v>991</v>
      </c>
      <c r="C58" s="28"/>
      <c r="D58" s="28"/>
      <c r="E58" s="28"/>
    </row>
    <row r="59" spans="1:5" x14ac:dyDescent="0.25">
      <c r="A59" s="28">
        <v>2</v>
      </c>
      <c r="B59" s="48" t="s">
        <v>992</v>
      </c>
      <c r="C59" s="28"/>
      <c r="D59" s="28"/>
      <c r="E59" s="28"/>
    </row>
    <row r="60" spans="1:5" x14ac:dyDescent="0.25">
      <c r="A60" s="28">
        <v>3</v>
      </c>
      <c r="B60" s="48" t="s">
        <v>993</v>
      </c>
      <c r="C60" s="28"/>
      <c r="D60" s="28"/>
      <c r="E60" s="28"/>
    </row>
    <row r="61" spans="1:5" x14ac:dyDescent="0.25">
      <c r="A61" s="28">
        <v>4</v>
      </c>
      <c r="B61" s="48" t="s">
        <v>994</v>
      </c>
      <c r="C61" s="28"/>
      <c r="D61" s="28"/>
      <c r="E61" s="28"/>
    </row>
    <row r="62" spans="1:5" x14ac:dyDescent="0.25">
      <c r="A62" s="28">
        <v>5</v>
      </c>
      <c r="B62" s="48" t="s">
        <v>995</v>
      </c>
      <c r="C62" s="28"/>
      <c r="D62" s="28"/>
      <c r="E62" s="28"/>
    </row>
    <row r="63" spans="1:5" x14ac:dyDescent="0.25">
      <c r="A63" s="28" t="s">
        <v>191</v>
      </c>
      <c r="B63" s="481"/>
      <c r="C63" s="28"/>
      <c r="D63" s="28"/>
      <c r="E63" s="28"/>
    </row>
    <row r="64" spans="1:5" x14ac:dyDescent="0.25">
      <c r="A64" s="28">
        <v>1</v>
      </c>
      <c r="B64" s="480" t="s">
        <v>996</v>
      </c>
      <c r="C64" s="28"/>
      <c r="D64" s="28"/>
      <c r="E64" s="28"/>
    </row>
    <row r="65" spans="1:5" x14ac:dyDescent="0.25">
      <c r="A65" s="28">
        <v>2</v>
      </c>
      <c r="B65" s="48"/>
      <c r="C65" s="28"/>
      <c r="D65" s="28"/>
      <c r="E65" s="28"/>
    </row>
    <row r="66" spans="1:5" x14ac:dyDescent="0.25">
      <c r="A66" s="28">
        <v>3</v>
      </c>
      <c r="B66" s="48"/>
      <c r="C66" s="28"/>
      <c r="D66" s="28"/>
      <c r="E66" s="28"/>
    </row>
    <row r="67" spans="1:5" x14ac:dyDescent="0.25">
      <c r="A67" s="28">
        <v>4</v>
      </c>
      <c r="B67" s="48"/>
      <c r="C67" s="28"/>
      <c r="D67" s="28"/>
      <c r="E67" s="28"/>
    </row>
    <row r="68" spans="1:5" x14ac:dyDescent="0.25">
      <c r="A68" s="28">
        <v>5</v>
      </c>
      <c r="B68" s="48"/>
      <c r="C68" s="28"/>
      <c r="D68" s="28"/>
      <c r="E68" s="28"/>
    </row>
    <row r="69" spans="1:5" x14ac:dyDescent="0.25">
      <c r="A69" s="28" t="s">
        <v>192</v>
      </c>
      <c r="B69" s="481"/>
      <c r="C69" s="28"/>
      <c r="D69" s="28"/>
      <c r="E69" s="28"/>
    </row>
    <row r="70" spans="1:5" x14ac:dyDescent="0.25">
      <c r="A70" s="28">
        <v>1</v>
      </c>
      <c r="B70" s="480"/>
      <c r="C70" s="28"/>
      <c r="D70" s="28"/>
      <c r="E70" s="28"/>
    </row>
    <row r="71" spans="1:5" x14ac:dyDescent="0.25">
      <c r="A71" s="28">
        <v>2</v>
      </c>
      <c r="B71" s="48"/>
      <c r="C71" s="28"/>
      <c r="D71" s="28"/>
      <c r="E71" s="28"/>
    </row>
    <row r="72" spans="1:5" x14ac:dyDescent="0.25">
      <c r="A72" s="28">
        <v>3</v>
      </c>
      <c r="B72" s="48"/>
      <c r="C72" s="28"/>
      <c r="D72" s="28"/>
      <c r="E72" s="28"/>
    </row>
    <row r="73" spans="1:5" x14ac:dyDescent="0.25">
      <c r="A73" s="28">
        <v>4</v>
      </c>
      <c r="B73" s="48"/>
      <c r="C73" s="28"/>
      <c r="D73" s="28"/>
      <c r="E73" s="28"/>
    </row>
    <row r="74" spans="1:5" x14ac:dyDescent="0.25">
      <c r="A74" s="28">
        <v>5</v>
      </c>
      <c r="B74" s="48"/>
      <c r="C74" s="28"/>
      <c r="D74" s="28"/>
      <c r="E74" s="28"/>
    </row>
    <row r="75" spans="1:5" x14ac:dyDescent="0.25">
      <c r="A75" s="28" t="s">
        <v>193</v>
      </c>
      <c r="B75" s="481"/>
      <c r="C75" s="28"/>
      <c r="D75" s="28"/>
      <c r="E75" s="28"/>
    </row>
    <row r="76" spans="1:5" x14ac:dyDescent="0.25">
      <c r="A76" s="28">
        <v>1</v>
      </c>
      <c r="B76" s="480"/>
      <c r="C76" s="28"/>
      <c r="D76" s="28"/>
      <c r="E76" s="28"/>
    </row>
    <row r="77" spans="1:5" x14ac:dyDescent="0.25">
      <c r="A77" s="28">
        <v>2</v>
      </c>
      <c r="B77" s="48"/>
      <c r="C77" s="28"/>
      <c r="D77" s="28"/>
      <c r="E77" s="28"/>
    </row>
    <row r="78" spans="1:5" x14ac:dyDescent="0.25">
      <c r="A78" s="28">
        <v>3</v>
      </c>
      <c r="B78" s="48"/>
      <c r="C78" s="28"/>
      <c r="D78" s="28"/>
      <c r="E78" s="28"/>
    </row>
    <row r="79" spans="1:5" x14ac:dyDescent="0.25">
      <c r="A79" s="28">
        <v>4</v>
      </c>
      <c r="B79" s="48"/>
      <c r="C79" s="28"/>
      <c r="D79" s="28"/>
      <c r="E79" s="28"/>
    </row>
    <row r="80" spans="1:5" x14ac:dyDescent="0.25">
      <c r="A80" s="28">
        <v>5</v>
      </c>
      <c r="B80" s="48"/>
      <c r="C80" s="28"/>
      <c r="D80" s="28"/>
      <c r="E80" s="28"/>
    </row>
    <row r="81" spans="1:5" x14ac:dyDescent="0.25">
      <c r="A81" s="29"/>
      <c r="B81" s="28"/>
      <c r="C81" s="28"/>
      <c r="D81" s="28"/>
      <c r="E81" s="51"/>
    </row>
    <row r="82" spans="1:5" x14ac:dyDescent="0.25">
      <c r="A82" s="28"/>
      <c r="B82" s="28"/>
      <c r="C82" s="28"/>
      <c r="D82" s="28"/>
      <c r="E82" s="28"/>
    </row>
    <row r="83" spans="1:5" x14ac:dyDescent="0.25">
      <c r="A83" s="28"/>
      <c r="B83" s="28"/>
      <c r="C83" s="28"/>
      <c r="D83" s="478" t="str">
        <f>CONCATENATE("",C6-3," Tax Rate")</f>
        <v>2023 Tax Rate</v>
      </c>
      <c r="E83" s="28"/>
    </row>
    <row r="84" spans="1:5" x14ac:dyDescent="0.25">
      <c r="A84" s="476" t="str">
        <f>CONCATENATE("From the ",C6-1," Budget, Budget Summary Page")</f>
        <v>From the 2025 Budget, Budget Summary Page</v>
      </c>
      <c r="B84" s="477"/>
      <c r="C84" s="28"/>
      <c r="D84" s="479" t="str">
        <f>CONCATENATE("(",C6-2," Column)")</f>
        <v>(2024 Column)</v>
      </c>
      <c r="E84" s="28"/>
    </row>
    <row r="85" spans="1:5" x14ac:dyDescent="0.25">
      <c r="A85" s="28"/>
      <c r="B85" s="475" t="str">
        <f>B18</f>
        <v>General</v>
      </c>
      <c r="C85" s="28"/>
      <c r="D85" s="48">
        <v>12.6</v>
      </c>
      <c r="E85" s="28"/>
    </row>
    <row r="86" spans="1:5" x14ac:dyDescent="0.25">
      <c r="A86" s="28"/>
      <c r="B86" s="52" t="str">
        <f>B19</f>
        <v>Debt Service</v>
      </c>
      <c r="C86" s="28"/>
      <c r="D86" s="48">
        <v>0</v>
      </c>
      <c r="E86" s="28"/>
    </row>
    <row r="87" spans="1:5" x14ac:dyDescent="0.25">
      <c r="A87" s="28"/>
      <c r="B87" s="52" t="str">
        <f>B20</f>
        <v>Library</v>
      </c>
      <c r="C87" s="28"/>
      <c r="D87" s="48">
        <v>5.4059999999999997</v>
      </c>
      <c r="E87" s="28"/>
    </row>
    <row r="88" spans="1:5" x14ac:dyDescent="0.25">
      <c r="A88" s="28"/>
      <c r="B88" s="52" t="str">
        <f t="shared" ref="B88:B97" si="0">B22</f>
        <v>Recreation</v>
      </c>
      <c r="C88" s="28"/>
      <c r="D88" s="48">
        <v>3.2440000000000002</v>
      </c>
      <c r="E88" s="28"/>
    </row>
    <row r="89" spans="1:5" x14ac:dyDescent="0.25">
      <c r="A89" s="28"/>
      <c r="B89" s="52" t="str">
        <f t="shared" si="0"/>
        <v>Noxious Weeds</v>
      </c>
      <c r="C89" s="28"/>
      <c r="D89" s="48">
        <v>9.0999999999999998E-2</v>
      </c>
      <c r="E89" s="28"/>
    </row>
    <row r="90" spans="1:5" x14ac:dyDescent="0.25">
      <c r="A90" s="28"/>
      <c r="B90" s="52" t="str">
        <f t="shared" si="0"/>
        <v>Special Fire/Police</v>
      </c>
      <c r="C90" s="28"/>
      <c r="D90" s="48">
        <v>0.80600000000000005</v>
      </c>
      <c r="E90" s="28"/>
    </row>
    <row r="91" spans="1:5" x14ac:dyDescent="0.25">
      <c r="A91" s="28"/>
      <c r="B91" s="52" t="str">
        <f t="shared" si="0"/>
        <v>Special Liability</v>
      </c>
      <c r="C91" s="28"/>
      <c r="D91" s="48">
        <v>0.47</v>
      </c>
      <c r="E91" s="28"/>
    </row>
    <row r="92" spans="1:5" x14ac:dyDescent="0.25">
      <c r="A92" s="28"/>
      <c r="B92" s="52" t="str">
        <f t="shared" si="0"/>
        <v>Employee Benefits</v>
      </c>
      <c r="C92" s="28"/>
      <c r="D92" s="48">
        <v>9.5660000000000007</v>
      </c>
      <c r="E92" s="28"/>
    </row>
    <row r="93" spans="1:5" x14ac:dyDescent="0.25">
      <c r="A93" s="28"/>
      <c r="B93" s="52" t="str">
        <f t="shared" si="0"/>
        <v>Economic Development</v>
      </c>
      <c r="C93" s="28"/>
      <c r="D93" s="48">
        <v>1.343</v>
      </c>
      <c r="E93" s="28"/>
    </row>
    <row r="94" spans="1:5" x14ac:dyDescent="0.25">
      <c r="A94" s="28"/>
      <c r="B94" s="52">
        <f t="shared" si="0"/>
        <v>0</v>
      </c>
      <c r="C94" s="28"/>
      <c r="D94" s="48"/>
      <c r="E94" s="28"/>
    </row>
    <row r="95" spans="1:5" x14ac:dyDescent="0.25">
      <c r="A95" s="28"/>
      <c r="B95" s="52">
        <f t="shared" si="0"/>
        <v>0</v>
      </c>
      <c r="C95" s="28"/>
      <c r="D95" s="48"/>
      <c r="E95" s="28"/>
    </row>
    <row r="96" spans="1:5" x14ac:dyDescent="0.25">
      <c r="A96" s="28"/>
      <c r="B96" s="52">
        <f t="shared" si="0"/>
        <v>0</v>
      </c>
      <c r="C96" s="28"/>
      <c r="D96" s="48"/>
      <c r="E96" s="28"/>
    </row>
    <row r="97" spans="1:5" x14ac:dyDescent="0.25">
      <c r="A97" s="28"/>
      <c r="B97" s="52">
        <f t="shared" si="0"/>
        <v>0</v>
      </c>
      <c r="C97" s="96"/>
      <c r="D97" s="48"/>
      <c r="E97" s="28"/>
    </row>
    <row r="98" spans="1:5" x14ac:dyDescent="0.25">
      <c r="A98" s="42" t="s">
        <v>35</v>
      </c>
      <c r="B98" s="43"/>
      <c r="C98" s="49"/>
      <c r="D98" s="53">
        <f>SUM(D85:D97)</f>
        <v>33.525999999999996</v>
      </c>
      <c r="E98" s="28"/>
    </row>
    <row r="99" spans="1:5" x14ac:dyDescent="0.25">
      <c r="A99" s="28"/>
      <c r="B99" s="28"/>
      <c r="C99" s="28"/>
      <c r="D99" s="28"/>
      <c r="E99" s="28"/>
    </row>
    <row r="100" spans="1:5" x14ac:dyDescent="0.25">
      <c r="A100" s="482" t="str">
        <f>CONCATENATE("Total Tax Levied (",C6-2," budget column)")</f>
        <v>Total Tax Levied (2024 budget column)</v>
      </c>
      <c r="B100" s="483"/>
      <c r="C100" s="43"/>
      <c r="D100" s="49"/>
      <c r="E100" s="39">
        <v>2008416</v>
      </c>
    </row>
    <row r="101" spans="1:5" x14ac:dyDescent="0.25">
      <c r="A101" s="482" t="str">
        <f>CONCATENATE("Assessed Valuation  (",C6-2," budget column)")</f>
        <v>Assessed Valuation  (2024 budget column)</v>
      </c>
      <c r="B101" s="483"/>
      <c r="C101" s="44"/>
      <c r="D101" s="54"/>
      <c r="E101" s="39">
        <v>60585208</v>
      </c>
    </row>
    <row r="102" spans="1:5" x14ac:dyDescent="0.25">
      <c r="A102" s="29"/>
      <c r="B102" s="28"/>
      <c r="C102" s="28"/>
      <c r="D102" s="28"/>
      <c r="E102" s="51"/>
    </row>
    <row r="103" spans="1:5" x14ac:dyDescent="0.25">
      <c r="A103" s="484" t="str">
        <f>CONCATENATE("From the ",C6-1," Budget, Budget Summary Page")</f>
        <v>From the 2025 Budget, Budget Summary Page</v>
      </c>
      <c r="B103" s="485"/>
      <c r="C103" s="28"/>
      <c r="D103" s="55"/>
      <c r="E103" s="56"/>
    </row>
    <row r="104" spans="1:5" x14ac:dyDescent="0.25">
      <c r="A104" s="486" t="s">
        <v>2</v>
      </c>
      <c r="B104" s="487"/>
      <c r="C104" s="57"/>
      <c r="D104" s="58">
        <f>C6-3</f>
        <v>2023</v>
      </c>
      <c r="E104" s="59">
        <f>C6-2</f>
        <v>2024</v>
      </c>
    </row>
    <row r="105" spans="1:5" x14ac:dyDescent="0.25">
      <c r="A105" s="488" t="s">
        <v>161</v>
      </c>
      <c r="B105" s="489"/>
      <c r="C105" s="60"/>
      <c r="D105" s="61">
        <v>10166000</v>
      </c>
      <c r="E105" s="61">
        <v>9457000</v>
      </c>
    </row>
    <row r="106" spans="1:5" x14ac:dyDescent="0.25">
      <c r="A106" s="490" t="s">
        <v>162</v>
      </c>
      <c r="B106" s="491"/>
      <c r="C106" s="63"/>
      <c r="D106" s="61">
        <v>0</v>
      </c>
      <c r="E106" s="61">
        <v>0</v>
      </c>
    </row>
    <row r="107" spans="1:5" x14ac:dyDescent="0.25">
      <c r="A107" s="490" t="s">
        <v>163</v>
      </c>
      <c r="B107" s="491"/>
      <c r="C107" s="63"/>
      <c r="D107" s="61">
        <v>2345741</v>
      </c>
      <c r="E107" s="61">
        <v>1849268</v>
      </c>
    </row>
    <row r="108" spans="1:5" x14ac:dyDescent="0.25">
      <c r="A108" s="490" t="s">
        <v>164</v>
      </c>
      <c r="B108" s="491"/>
      <c r="C108" s="63"/>
      <c r="D108" s="61">
        <v>553518</v>
      </c>
      <c r="E108" s="61">
        <v>422001</v>
      </c>
    </row>
    <row r="109" spans="1:5" x14ac:dyDescent="0.25">
      <c r="A109" s="64"/>
      <c r="B109" s="64"/>
      <c r="C109" s="64"/>
      <c r="D109" s="64"/>
      <c r="E109" s="64"/>
    </row>
    <row r="110" spans="1:5" x14ac:dyDescent="0.25">
      <c r="A110" s="64"/>
      <c r="B110" s="64"/>
      <c r="C110" s="64"/>
      <c r="D110" s="64"/>
      <c r="E110" s="64"/>
    </row>
    <row r="111" spans="1:5" x14ac:dyDescent="0.25">
      <c r="A111" s="64"/>
      <c r="B111" s="64"/>
      <c r="C111" s="64"/>
      <c r="D111" s="64"/>
      <c r="E111" s="64"/>
    </row>
    <row r="112" spans="1:5" x14ac:dyDescent="0.25">
      <c r="A112" s="64"/>
      <c r="B112" s="64"/>
      <c r="C112" s="64"/>
      <c r="D112" s="64"/>
      <c r="E112" s="64"/>
    </row>
    <row r="113" spans="1:5" x14ac:dyDescent="0.25">
      <c r="A113" s="64"/>
      <c r="B113" s="64"/>
      <c r="C113" s="64"/>
      <c r="D113" s="64"/>
      <c r="E113" s="64"/>
    </row>
    <row r="114" spans="1:5" x14ac:dyDescent="0.25">
      <c r="A114" s="64"/>
      <c r="B114" s="64"/>
      <c r="C114" s="64"/>
      <c r="D114" s="64"/>
      <c r="E114" s="64"/>
    </row>
    <row r="115" spans="1:5" x14ac:dyDescent="0.25">
      <c r="A115" s="64"/>
      <c r="B115" s="64"/>
      <c r="C115" s="64"/>
      <c r="D115" s="64"/>
      <c r="E115" s="64"/>
    </row>
    <row r="116" spans="1:5" x14ac:dyDescent="0.25">
      <c r="A116" s="64"/>
      <c r="B116" s="64"/>
      <c r="C116" s="64"/>
      <c r="D116" s="64"/>
      <c r="E116" s="64"/>
    </row>
    <row r="117" spans="1:5" x14ac:dyDescent="0.25">
      <c r="A117" s="64"/>
      <c r="B117" s="64"/>
      <c r="C117" s="64"/>
      <c r="D117" s="64"/>
      <c r="E117" s="64"/>
    </row>
    <row r="118" spans="1:5" x14ac:dyDescent="0.25">
      <c r="A118" s="64"/>
      <c r="B118" s="64"/>
      <c r="C118" s="64"/>
      <c r="D118" s="64"/>
      <c r="E118" s="64"/>
    </row>
    <row r="119" spans="1:5" s="64" customFormat="1" ht="12.5" x14ac:dyDescent="0.25"/>
    <row r="120" spans="1:5" x14ac:dyDescent="0.25">
      <c r="A120" s="64"/>
      <c r="B120" s="64"/>
      <c r="C120" s="64"/>
      <c r="D120" s="64"/>
      <c r="E120" s="64"/>
    </row>
    <row r="121" spans="1:5" x14ac:dyDescent="0.25">
      <c r="A121" s="64"/>
      <c r="B121" s="64"/>
      <c r="C121" s="64"/>
      <c r="D121" s="64"/>
      <c r="E121" s="64"/>
    </row>
    <row r="122" spans="1:5" x14ac:dyDescent="0.25">
      <c r="A122" s="64"/>
      <c r="B122" s="64"/>
      <c r="C122" s="64"/>
      <c r="D122" s="64"/>
      <c r="E122" s="64"/>
    </row>
    <row r="123" spans="1:5" x14ac:dyDescent="0.25">
      <c r="A123" s="64"/>
      <c r="B123" s="64"/>
      <c r="C123" s="64"/>
      <c r="D123" s="64"/>
      <c r="E123" s="64"/>
    </row>
    <row r="124" spans="1:5" x14ac:dyDescent="0.25">
      <c r="A124" s="64"/>
      <c r="B124" s="64"/>
      <c r="C124" s="64"/>
      <c r="D124" s="64"/>
      <c r="E124" s="64"/>
    </row>
    <row r="125" spans="1:5" x14ac:dyDescent="0.25">
      <c r="A125" s="64"/>
      <c r="B125" s="64"/>
      <c r="C125" s="64"/>
      <c r="D125" s="64"/>
      <c r="E125" s="64"/>
    </row>
    <row r="126" spans="1:5" x14ac:dyDescent="0.25">
      <c r="A126" s="64"/>
      <c r="B126" s="64"/>
      <c r="C126" s="64"/>
      <c r="D126" s="64"/>
      <c r="E126" s="64"/>
    </row>
  </sheetData>
  <sheetProtection sheet="1" objects="1" scenarios="1"/>
  <mergeCells count="6">
    <mergeCell ref="A11:E11"/>
    <mergeCell ref="A1:E1"/>
    <mergeCell ref="A8:E10"/>
    <mergeCell ref="G13:H19"/>
    <mergeCell ref="D3:E3"/>
    <mergeCell ref="D4:E4"/>
  </mergeCells>
  <phoneticPr fontId="0" type="noConversion"/>
  <pageMargins left="0.5" right="0.5" top="1" bottom="0.5" header="0.5" footer="0.25"/>
  <pageSetup scale="75"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pageSetUpPr fitToPage="1"/>
  </sheetPr>
  <dimension ref="B1:K101"/>
  <sheetViews>
    <sheetView topLeftCell="A49" zoomScaleNormal="100" workbookViewId="0">
      <selection activeCell="B9" sqref="B9"/>
    </sheetView>
  </sheetViews>
  <sheetFormatPr defaultColWidth="8.9140625" defaultRowHeight="15.5" x14ac:dyDescent="0.25"/>
  <cols>
    <col min="1" max="1" width="2.4140625" style="26" customWidth="1"/>
    <col min="2" max="2" width="31.08203125" style="26" customWidth="1"/>
    <col min="3" max="4" width="15.75" style="26" customWidth="1"/>
    <col min="5" max="5" width="16.08203125" style="26" customWidth="1"/>
    <col min="6" max="6" width="8.9140625" style="26"/>
    <col min="7" max="7" width="10.25" style="26" customWidth="1"/>
    <col min="8" max="8" width="8.9140625" style="26"/>
    <col min="9" max="9" width="5.58203125" style="26" customWidth="1"/>
    <col min="10" max="10" width="10" style="26" customWidth="1"/>
    <col min="11" max="16384" width="8.9140625" style="26"/>
  </cols>
  <sheetData>
    <row r="1" spans="2:10" x14ac:dyDescent="0.25">
      <c r="B1" s="47" t="str">
        <f>(inputPrYr!D3)</f>
        <v>The City of Colby</v>
      </c>
      <c r="C1" s="28"/>
      <c r="D1" s="28"/>
      <c r="E1" s="80">
        <f>inputPrYr!C6</f>
        <v>2026</v>
      </c>
    </row>
    <row r="2" spans="2:10" x14ac:dyDescent="0.25">
      <c r="B2" s="28"/>
      <c r="C2" s="28"/>
      <c r="D2" s="28"/>
      <c r="E2" s="107"/>
    </row>
    <row r="3" spans="2:10" x14ac:dyDescent="0.25">
      <c r="B3" s="160" t="s">
        <v>119</v>
      </c>
      <c r="C3" s="115"/>
      <c r="D3" s="115"/>
      <c r="E3" s="132"/>
    </row>
    <row r="4" spans="2:10" x14ac:dyDescent="0.25">
      <c r="B4" s="29" t="s">
        <v>57</v>
      </c>
      <c r="C4" s="443" t="s">
        <v>475</v>
      </c>
      <c r="D4" s="444" t="s">
        <v>476</v>
      </c>
      <c r="E4" s="87" t="s">
        <v>477</v>
      </c>
    </row>
    <row r="5" spans="2:10" x14ac:dyDescent="0.25">
      <c r="B5" s="334">
        <f>inputPrYr!B28</f>
        <v>0</v>
      </c>
      <c r="C5" s="137" t="str">
        <f>CONCATENATE("Actual for ",E1-2,"")</f>
        <v>Actual for 2024</v>
      </c>
      <c r="D5" s="137" t="str">
        <f>CONCATENATE("Estimate for ",E1-1,"")</f>
        <v>Estimate for 2025</v>
      </c>
      <c r="E5" s="122" t="str">
        <f>CONCATENATE("Year for ",E1,"")</f>
        <v>Year for 2026</v>
      </c>
    </row>
    <row r="6" spans="2:10" x14ac:dyDescent="0.25">
      <c r="B6" s="162" t="s">
        <v>133</v>
      </c>
      <c r="C6" s="167"/>
      <c r="D6" s="165">
        <f>C34</f>
        <v>0</v>
      </c>
      <c r="E6" s="140">
        <f>D34</f>
        <v>0</v>
      </c>
    </row>
    <row r="7" spans="2:10" x14ac:dyDescent="0.25">
      <c r="B7" s="166" t="s">
        <v>135</v>
      </c>
      <c r="C7" s="102"/>
      <c r="D7" s="102"/>
      <c r="E7" s="52"/>
    </row>
    <row r="8" spans="2:10" x14ac:dyDescent="0.25">
      <c r="B8" s="93" t="s">
        <v>58</v>
      </c>
      <c r="C8" s="167"/>
      <c r="D8" s="165">
        <f>IF(inputPrYr!H21&gt;0,inputPrYr!G32,inputPrYr!E28)</f>
        <v>0</v>
      </c>
      <c r="E8" s="192" t="s">
        <v>49</v>
      </c>
    </row>
    <row r="9" spans="2:10" x14ac:dyDescent="0.25">
      <c r="B9" s="93" t="s">
        <v>59</v>
      </c>
      <c r="C9" s="167"/>
      <c r="D9" s="167"/>
      <c r="E9" s="39"/>
    </row>
    <row r="10" spans="2:10" x14ac:dyDescent="0.25">
      <c r="B10" s="93" t="s">
        <v>60</v>
      </c>
      <c r="C10" s="167"/>
      <c r="D10" s="167"/>
      <c r="E10" s="140" t="str">
        <f>Mvalloc!D16</f>
        <v xml:space="preserve">  </v>
      </c>
      <c r="G10" s="770" t="str">
        <f>CONCATENATE("Desired Carryover Into ",E1+1,"")</f>
        <v>Desired Carryover Into 2027</v>
      </c>
      <c r="H10" s="754"/>
      <c r="I10" s="754"/>
      <c r="J10" s="755"/>
    </row>
    <row r="11" spans="2:10" x14ac:dyDescent="0.25">
      <c r="B11" s="93" t="s">
        <v>61</v>
      </c>
      <c r="C11" s="167"/>
      <c r="D11" s="167"/>
      <c r="E11" s="140" t="str">
        <f>Mvalloc!E16</f>
        <v xml:space="preserve"> </v>
      </c>
      <c r="G11" s="384"/>
      <c r="H11" s="385"/>
      <c r="I11" s="386"/>
      <c r="J11" s="387"/>
    </row>
    <row r="12" spans="2:10" x14ac:dyDescent="0.25">
      <c r="B12" s="102" t="s">
        <v>126</v>
      </c>
      <c r="C12" s="167"/>
      <c r="D12" s="167"/>
      <c r="E12" s="140" t="str">
        <f>Mvalloc!F16</f>
        <v xml:space="preserve"> </v>
      </c>
      <c r="G12" s="388" t="s">
        <v>347</v>
      </c>
      <c r="H12" s="386"/>
      <c r="I12" s="386"/>
      <c r="J12" s="389">
        <v>0</v>
      </c>
    </row>
    <row r="13" spans="2:10" x14ac:dyDescent="0.25">
      <c r="B13" s="509" t="s">
        <v>524</v>
      </c>
      <c r="C13" s="167"/>
      <c r="D13" s="167"/>
      <c r="E13" s="140" t="str">
        <f>Mvalloc!G16</f>
        <v xml:space="preserve"> </v>
      </c>
      <c r="G13" s="384" t="s">
        <v>348</v>
      </c>
      <c r="H13" s="385"/>
      <c r="I13" s="385"/>
      <c r="J13" s="390" t="str">
        <f>IF(J12=0,"",ROUND((J12+E40-G25)/inputOth!E7*1000,3)-G30)</f>
        <v/>
      </c>
    </row>
    <row r="14" spans="2:10" x14ac:dyDescent="0.25">
      <c r="B14" s="509" t="s">
        <v>525</v>
      </c>
      <c r="C14" s="167"/>
      <c r="D14" s="167"/>
      <c r="E14" s="140" t="str">
        <f>Mvalloc!H16</f>
        <v xml:space="preserve"> </v>
      </c>
      <c r="G14" s="391" t="str">
        <f>CONCATENATE("",E1," Tot Exp/Non-Appr Must Be:")</f>
        <v>2026 Tot Exp/Non-Appr Must Be:</v>
      </c>
      <c r="H14" s="392"/>
      <c r="I14" s="393"/>
      <c r="J14" s="394">
        <f>IF(J12&gt;0,IF(E37&lt;E22,IF(J12=G25,E37,((J12-G25)*(1-D39))+E22),E37+(J12-G25)),0)</f>
        <v>0</v>
      </c>
    </row>
    <row r="15" spans="2:10" x14ac:dyDescent="0.25">
      <c r="B15" s="182"/>
      <c r="C15" s="167"/>
      <c r="D15" s="167"/>
      <c r="E15" s="39"/>
      <c r="G15" s="395" t="s">
        <v>421</v>
      </c>
      <c r="H15" s="396"/>
      <c r="I15" s="396"/>
      <c r="J15" s="397">
        <f>IF(J12&gt;0,J14-E37,0)</f>
        <v>0</v>
      </c>
    </row>
    <row r="16" spans="2:10" x14ac:dyDescent="0.35">
      <c r="B16" s="182"/>
      <c r="C16" s="167"/>
      <c r="D16" s="167"/>
      <c r="E16" s="39"/>
      <c r="J16" s="2"/>
    </row>
    <row r="17" spans="2:11" x14ac:dyDescent="0.25">
      <c r="B17" s="171" t="s">
        <v>63</v>
      </c>
      <c r="C17" s="167"/>
      <c r="D17" s="167"/>
      <c r="E17" s="39"/>
      <c r="G17" s="770" t="str">
        <f>CONCATENATE("Projected Carryover Into ",E1+1,"")</f>
        <v>Projected Carryover Into 2027</v>
      </c>
      <c r="H17" s="771"/>
      <c r="I17" s="771"/>
      <c r="J17" s="772"/>
    </row>
    <row r="18" spans="2:11" x14ac:dyDescent="0.35">
      <c r="B18" s="183" t="s">
        <v>8</v>
      </c>
      <c r="C18" s="167"/>
      <c r="D18" s="167"/>
      <c r="E18" s="140">
        <f>'NR Rebate20'!E15*-1</f>
        <v>0</v>
      </c>
      <c r="G18" s="384"/>
      <c r="H18" s="386"/>
      <c r="I18" s="386"/>
      <c r="J18" s="399"/>
    </row>
    <row r="19" spans="2:11" x14ac:dyDescent="0.35">
      <c r="B19" s="102" t="s">
        <v>9</v>
      </c>
      <c r="C19" s="167"/>
      <c r="D19" s="167"/>
      <c r="E19" s="39"/>
      <c r="G19" s="400">
        <f>D34</f>
        <v>0</v>
      </c>
      <c r="H19" s="378" t="str">
        <f>CONCATENATE("",E1-1," Ending Cash Balance (est.)")</f>
        <v>2025 Ending Cash Balance (est.)</v>
      </c>
      <c r="I19" s="401"/>
      <c r="J19" s="399"/>
    </row>
    <row r="20" spans="2:11" x14ac:dyDescent="0.35">
      <c r="B20" s="162" t="s">
        <v>350</v>
      </c>
      <c r="C20" s="172" t="str">
        <f>IF(C21*0.1&lt;C19,"Exceed 10% Rule","")</f>
        <v/>
      </c>
      <c r="D20" s="172" t="str">
        <f>IF(D21*0.1&lt;D19,"Exceed 10% Rule","")</f>
        <v/>
      </c>
      <c r="E20" s="204" t="str">
        <f>IF(E21*0.1+E40&lt;E19,"Exceed 10% Rule","")</f>
        <v/>
      </c>
      <c r="G20" s="400">
        <f>E21</f>
        <v>0</v>
      </c>
      <c r="H20" s="386" t="str">
        <f>CONCATENATE("",E1," Non-AV Receipts (est.)")</f>
        <v>2026 Non-AV Receipts (est.)</v>
      </c>
      <c r="I20" s="401"/>
      <c r="J20" s="399"/>
    </row>
    <row r="21" spans="2:11" x14ac:dyDescent="0.3">
      <c r="B21" s="174" t="s">
        <v>64</v>
      </c>
      <c r="C21" s="594">
        <f>SUM(C8:C19)</f>
        <v>0</v>
      </c>
      <c r="D21" s="594">
        <f>SUM(D8:D19)</f>
        <v>0</v>
      </c>
      <c r="E21" s="594">
        <f>SUM(E8:E19)</f>
        <v>0</v>
      </c>
      <c r="G21" s="402">
        <f>IF(E39&gt;0,E38,E40)</f>
        <v>0</v>
      </c>
      <c r="H21" s="386" t="str">
        <f>CONCATENATE("",E1," Ad Valorem Tax (est.)")</f>
        <v>2026 Ad Valorem Tax (est.)</v>
      </c>
      <c r="I21" s="401"/>
      <c r="J21" s="380"/>
      <c r="K21" s="379" t="str">
        <f>IF(G21=E40,"","Note: Does not include Delinquent Taxes")</f>
        <v/>
      </c>
    </row>
    <row r="22" spans="2:11" x14ac:dyDescent="0.35">
      <c r="B22" s="174" t="s">
        <v>65</v>
      </c>
      <c r="C22" s="594">
        <f>C6+C21</f>
        <v>0</v>
      </c>
      <c r="D22" s="594">
        <f>D6+D21</f>
        <v>0</v>
      </c>
      <c r="E22" s="594">
        <f>E6+E21</f>
        <v>0</v>
      </c>
      <c r="G22" s="400">
        <f>SUM(G19:G21)</f>
        <v>0</v>
      </c>
      <c r="H22" s="386" t="str">
        <f>CONCATENATE("Total ",E1," Resources Available")</f>
        <v>Total 2026 Resources Available</v>
      </c>
      <c r="I22" s="401"/>
      <c r="J22" s="399"/>
    </row>
    <row r="23" spans="2:11" x14ac:dyDescent="0.35">
      <c r="B23" s="93" t="s">
        <v>67</v>
      </c>
      <c r="C23" s="183"/>
      <c r="D23" s="183"/>
      <c r="E23" s="38"/>
      <c r="G23" s="436"/>
      <c r="H23" s="386"/>
      <c r="I23" s="386"/>
      <c r="J23" s="399"/>
    </row>
    <row r="24" spans="2:11" x14ac:dyDescent="0.35">
      <c r="B24" s="182"/>
      <c r="C24" s="167"/>
      <c r="D24" s="167"/>
      <c r="E24" s="39"/>
      <c r="G24" s="402">
        <f>ROUND(C33*0.05+C33,0)</f>
        <v>0</v>
      </c>
      <c r="H24" s="386" t="str">
        <f>CONCATENATE("Less ",E1-2," Expenditures + 5%")</f>
        <v>Less 2024 Expenditures + 5%</v>
      </c>
      <c r="I24" s="401"/>
      <c r="J24" s="399"/>
    </row>
    <row r="25" spans="2:11" x14ac:dyDescent="0.35">
      <c r="B25" s="182"/>
      <c r="C25" s="167"/>
      <c r="D25" s="167"/>
      <c r="E25" s="39"/>
      <c r="G25" s="437">
        <f>G22-G24</f>
        <v>0</v>
      </c>
      <c r="H25" s="438" t="str">
        <f>CONCATENATE("Projected ",E1+1," carryover (est.)")</f>
        <v>Projected 2027 carryover (est.)</v>
      </c>
      <c r="I25" s="439"/>
      <c r="J25" s="412"/>
    </row>
    <row r="26" spans="2:11" x14ac:dyDescent="0.35">
      <c r="B26" s="182"/>
      <c r="C26" s="167"/>
      <c r="D26" s="167"/>
      <c r="E26" s="39"/>
      <c r="G26" s="2"/>
      <c r="H26" s="2"/>
      <c r="I26" s="2"/>
      <c r="J26" s="2"/>
    </row>
    <row r="27" spans="2:11" x14ac:dyDescent="0.25">
      <c r="B27" s="182"/>
      <c r="C27" s="167"/>
      <c r="D27" s="167"/>
      <c r="E27" s="39"/>
      <c r="G27" s="756" t="s">
        <v>706</v>
      </c>
      <c r="H27" s="757"/>
      <c r="I27" s="757"/>
      <c r="J27" s="758"/>
    </row>
    <row r="28" spans="2:11" x14ac:dyDescent="0.25">
      <c r="B28" s="182"/>
      <c r="C28" s="167"/>
      <c r="D28" s="167"/>
      <c r="E28" s="39"/>
      <c r="G28" s="759"/>
      <c r="H28" s="760"/>
      <c r="I28" s="760"/>
      <c r="J28" s="761"/>
    </row>
    <row r="29" spans="2:11" x14ac:dyDescent="0.25">
      <c r="B29" s="182"/>
      <c r="C29" s="167"/>
      <c r="D29" s="167"/>
      <c r="E29" s="39"/>
      <c r="G29" s="580" t="str">
        <f>'Budget Hearing Notice'!H24</f>
        <v xml:space="preserve">  </v>
      </c>
      <c r="H29" s="378" t="str">
        <f>CONCATENATE("",E1," Estimated Fund Mill Rate")</f>
        <v>2026 Estimated Fund Mill Rate</v>
      </c>
      <c r="I29" s="581"/>
      <c r="J29" s="582"/>
    </row>
    <row r="30" spans="2:11" x14ac:dyDescent="0.25">
      <c r="B30" s="183" t="str">
        <f>CONCATENATE("Cash Reserve (",E1," column)")</f>
        <v>Cash Reserve (2026 column)</v>
      </c>
      <c r="C30" s="167"/>
      <c r="D30" s="167"/>
      <c r="E30" s="39"/>
      <c r="G30" s="583" t="str">
        <f>'Budget Hearing Notice'!E24</f>
        <v xml:space="preserve">  </v>
      </c>
      <c r="H30" s="378" t="str">
        <f>CONCATENATE("",E1-1," Fund Mill Rate")</f>
        <v>2025 Fund Mill Rate</v>
      </c>
      <c r="I30" s="581"/>
      <c r="J30" s="582"/>
    </row>
    <row r="31" spans="2:11" x14ac:dyDescent="0.25">
      <c r="B31" s="183" t="s">
        <v>9</v>
      </c>
      <c r="C31" s="167"/>
      <c r="D31" s="167"/>
      <c r="E31" s="39"/>
      <c r="G31" s="584">
        <f>inputOth!D20</f>
        <v>33.582999999999998</v>
      </c>
      <c r="H31" s="585" t="s">
        <v>707</v>
      </c>
      <c r="I31" s="581"/>
      <c r="J31" s="582"/>
    </row>
    <row r="32" spans="2:11" x14ac:dyDescent="0.25">
      <c r="B32" s="183" t="s">
        <v>351</v>
      </c>
      <c r="C32" s="172" t="str">
        <f>IF(C33*0.1&lt;C31,"Exceed 10% Rule","")</f>
        <v/>
      </c>
      <c r="D32" s="172" t="str">
        <f>IF(D33*0.1&lt;D31,"Exceed 10% Rule","")</f>
        <v/>
      </c>
      <c r="E32" s="204" t="str">
        <f>IF(E33*0.1&lt;E31,"Exceed 10% Rule","")</f>
        <v/>
      </c>
      <c r="G32" s="580">
        <f>'Budget Hearing Notice'!H52</f>
        <v>34.4</v>
      </c>
      <c r="H32" s="378" t="str">
        <f>CONCATENATE(E1," Estimated Total Mill Rate")</f>
        <v>2026 Estimated Total Mill Rate</v>
      </c>
      <c r="I32" s="581"/>
      <c r="J32" s="582"/>
    </row>
    <row r="33" spans="2:10" x14ac:dyDescent="0.25">
      <c r="B33" s="174" t="s">
        <v>71</v>
      </c>
      <c r="C33" s="594">
        <f>SUM(C24:C31)</f>
        <v>0</v>
      </c>
      <c r="D33" s="594">
        <f>SUM(D24:D31)</f>
        <v>0</v>
      </c>
      <c r="E33" s="594">
        <f>SUM(E24:E31)</f>
        <v>0</v>
      </c>
      <c r="G33" s="586">
        <f>'Budget Hearing Notice'!E52</f>
        <v>34.4</v>
      </c>
      <c r="H33" s="378" t="str">
        <f>CONCATENATE(E1-1," Total Mill Rate")</f>
        <v>2025 Total Mill Rate</v>
      </c>
      <c r="I33" s="581"/>
      <c r="J33" s="582"/>
    </row>
    <row r="34" spans="2:10" x14ac:dyDescent="0.25">
      <c r="B34" s="93" t="s">
        <v>134</v>
      </c>
      <c r="C34" s="140">
        <f>C22-C33</f>
        <v>0</v>
      </c>
      <c r="D34" s="140">
        <f>D22-D33</f>
        <v>0</v>
      </c>
      <c r="E34" s="192" t="s">
        <v>49</v>
      </c>
      <c r="G34" s="398"/>
      <c r="H34" s="385"/>
      <c r="I34" s="385"/>
      <c r="J34" s="405"/>
    </row>
    <row r="35" spans="2:10" x14ac:dyDescent="0.25">
      <c r="B35" s="108" t="str">
        <f>CONCATENATE("",E1-2,"/",E1-1,"/",E1," Budget Authority Amount:")</f>
        <v>2024/2025/2026 Budget Authority Amount:</v>
      </c>
      <c r="C35" s="447">
        <f>inputOth!B72</f>
        <v>0</v>
      </c>
      <c r="D35" s="447">
        <f>inputPrYr!D28</f>
        <v>0</v>
      </c>
      <c r="E35" s="140">
        <f>E33</f>
        <v>0</v>
      </c>
      <c r="G35" s="762" t="s">
        <v>708</v>
      </c>
      <c r="H35" s="763"/>
      <c r="I35" s="763"/>
      <c r="J35" s="766" t="str">
        <f>IF(G32&gt;G31, "Yes", "No")</f>
        <v>Yes</v>
      </c>
    </row>
    <row r="36" spans="2:10" x14ac:dyDescent="0.25">
      <c r="B36" s="80"/>
      <c r="C36" s="749" t="s">
        <v>319</v>
      </c>
      <c r="D36" s="750"/>
      <c r="E36" s="39"/>
      <c r="G36" s="764"/>
      <c r="H36" s="765"/>
      <c r="I36" s="765"/>
      <c r="J36" s="767"/>
    </row>
    <row r="37" spans="2:10" x14ac:dyDescent="0.25">
      <c r="B37" s="331" t="str">
        <f>CONCATENATE(C97,"     ",D97)</f>
        <v xml:space="preserve">     </v>
      </c>
      <c r="C37" s="751" t="s">
        <v>320</v>
      </c>
      <c r="D37" s="752"/>
      <c r="E37" s="140">
        <f>E33+E36</f>
        <v>0</v>
      </c>
      <c r="F37" s="184"/>
      <c r="G37" s="768" t="str">
        <f>IF(J35="Yes", "Follow procedure prescribed by KSA 79-2988 to exceed the Revenue Neutral Rate.", " ")</f>
        <v>Follow procedure prescribed by KSA 79-2988 to exceed the Revenue Neutral Rate.</v>
      </c>
      <c r="H37" s="768"/>
      <c r="I37" s="768"/>
      <c r="J37" s="768"/>
    </row>
    <row r="38" spans="2:10" x14ac:dyDescent="0.25">
      <c r="B38" s="331" t="str">
        <f>CONCATENATE(C98,"     ",D98)</f>
        <v xml:space="preserve">     </v>
      </c>
      <c r="C38" s="185"/>
      <c r="D38" s="107" t="s">
        <v>72</v>
      </c>
      <c r="E38" s="140">
        <f>IF(E37-E22&gt;0,E37-E22,0)</f>
        <v>0</v>
      </c>
      <c r="F38" s="452" t="str">
        <f>IF(E33/0.95-E33&lt;E36,"Exceeds 5%","")</f>
        <v/>
      </c>
      <c r="G38" s="769"/>
      <c r="H38" s="769"/>
      <c r="I38" s="769"/>
      <c r="J38" s="769"/>
    </row>
    <row r="39" spans="2:10" x14ac:dyDescent="0.25">
      <c r="B39" s="107"/>
      <c r="C39" s="257" t="s">
        <v>318</v>
      </c>
      <c r="D39" s="451">
        <f>inputOth!$E$50</f>
        <v>0</v>
      </c>
      <c r="E39" s="140">
        <f>ROUND(IF(D39&gt;0,(E38*D39),0),0)</f>
        <v>0</v>
      </c>
      <c r="G39" s="769"/>
      <c r="H39" s="769"/>
      <c r="I39" s="769"/>
      <c r="J39" s="769"/>
    </row>
    <row r="40" spans="2:10" ht="16" thickBot="1" x14ac:dyDescent="0.3">
      <c r="B40" s="28"/>
      <c r="C40" s="726" t="str">
        <f>CONCATENATE("Amount of  ",$E$1-1," Ad Valorem Tax")</f>
        <v>Amount of  2025 Ad Valorem Tax</v>
      </c>
      <c r="D40" s="753"/>
      <c r="E40" s="383">
        <f>E38+E39</f>
        <v>0</v>
      </c>
    </row>
    <row r="41" spans="2:10" ht="16" thickTop="1" x14ac:dyDescent="0.25">
      <c r="B41" s="28"/>
      <c r="C41" s="28"/>
      <c r="D41" s="28"/>
      <c r="E41" s="28"/>
    </row>
    <row r="42" spans="2:10" x14ac:dyDescent="0.25">
      <c r="B42" s="29"/>
      <c r="C42" s="85"/>
      <c r="D42" s="85"/>
      <c r="E42" s="85"/>
    </row>
    <row r="43" spans="2:10" x14ac:dyDescent="0.25">
      <c r="B43" s="29" t="s">
        <v>57</v>
      </c>
      <c r="C43" s="443" t="s">
        <v>475</v>
      </c>
      <c r="D43" s="444" t="s">
        <v>476</v>
      </c>
      <c r="E43" s="87" t="s">
        <v>477</v>
      </c>
    </row>
    <row r="44" spans="2:10" x14ac:dyDescent="0.25">
      <c r="B44" s="334">
        <f>inputPrYr!B29</f>
        <v>0</v>
      </c>
      <c r="C44" s="137" t="str">
        <f>CONCATENATE("Actual for ",E1-2,"")</f>
        <v>Actual for 2024</v>
      </c>
      <c r="D44" s="137" t="str">
        <f>CONCATENATE("Estimate for ",E1-1,"")</f>
        <v>Estimate for 2025</v>
      </c>
      <c r="E44" s="122" t="str">
        <f>CONCATENATE("Year for ",E1,"")</f>
        <v>Year for 2026</v>
      </c>
    </row>
    <row r="45" spans="2:10" x14ac:dyDescent="0.25">
      <c r="B45" s="162" t="s">
        <v>133</v>
      </c>
      <c r="C45" s="167"/>
      <c r="D45" s="165">
        <f>C73</f>
        <v>0</v>
      </c>
      <c r="E45" s="140">
        <f>D73</f>
        <v>0</v>
      </c>
    </row>
    <row r="46" spans="2:10" x14ac:dyDescent="0.25">
      <c r="B46" s="166" t="s">
        <v>135</v>
      </c>
      <c r="C46" s="102"/>
      <c r="D46" s="102"/>
      <c r="E46" s="52"/>
    </row>
    <row r="47" spans="2:10" x14ac:dyDescent="0.25">
      <c r="B47" s="93" t="s">
        <v>58</v>
      </c>
      <c r="C47" s="167"/>
      <c r="D47" s="165">
        <f>IF(inputPrYr!H21&gt;0,inputPrYr!G33,inputPrYr!E29)</f>
        <v>0</v>
      </c>
      <c r="E47" s="192" t="s">
        <v>49</v>
      </c>
    </row>
    <row r="48" spans="2:10" x14ac:dyDescent="0.25">
      <c r="B48" s="93" t="s">
        <v>59</v>
      </c>
      <c r="C48" s="167"/>
      <c r="D48" s="167"/>
      <c r="E48" s="39"/>
    </row>
    <row r="49" spans="2:11" x14ac:dyDescent="0.25">
      <c r="B49" s="93" t="s">
        <v>60</v>
      </c>
      <c r="C49" s="167"/>
      <c r="D49" s="167"/>
      <c r="E49" s="140" t="str">
        <f>Mvalloc!D17</f>
        <v xml:space="preserve">  </v>
      </c>
      <c r="G49" s="770" t="str">
        <f>CONCATENATE("Desired Carryover Into ",E1+1,"")</f>
        <v>Desired Carryover Into 2027</v>
      </c>
      <c r="H49" s="754"/>
      <c r="I49" s="754"/>
      <c r="J49" s="755"/>
    </row>
    <row r="50" spans="2:11" x14ac:dyDescent="0.25">
      <c r="B50" s="93" t="s">
        <v>61</v>
      </c>
      <c r="C50" s="167"/>
      <c r="D50" s="167"/>
      <c r="E50" s="140" t="str">
        <f>Mvalloc!E17</f>
        <v xml:space="preserve"> </v>
      </c>
      <c r="G50" s="384"/>
      <c r="H50" s="385"/>
      <c r="I50" s="386"/>
      <c r="J50" s="387"/>
    </row>
    <row r="51" spans="2:11" x14ac:dyDescent="0.25">
      <c r="B51" s="102" t="s">
        <v>126</v>
      </c>
      <c r="C51" s="167"/>
      <c r="D51" s="167"/>
      <c r="E51" s="140" t="str">
        <f>Mvalloc!F17</f>
        <v xml:space="preserve"> </v>
      </c>
      <c r="G51" s="388" t="s">
        <v>347</v>
      </c>
      <c r="H51" s="386"/>
      <c r="I51" s="386"/>
      <c r="J51" s="389">
        <v>0</v>
      </c>
    </row>
    <row r="52" spans="2:11" x14ac:dyDescent="0.25">
      <c r="B52" s="509" t="s">
        <v>524</v>
      </c>
      <c r="C52" s="167"/>
      <c r="D52" s="167"/>
      <c r="E52" s="140" t="str">
        <f>Mvalloc!G17</f>
        <v xml:space="preserve"> </v>
      </c>
      <c r="G52" s="384" t="s">
        <v>348</v>
      </c>
      <c r="H52" s="385"/>
      <c r="I52" s="385"/>
      <c r="J52" s="390" t="str">
        <f>IF(J51=0,"",ROUND((J51+E79-G64)/inputOth!E7*1000,3)-G69)</f>
        <v/>
      </c>
    </row>
    <row r="53" spans="2:11" x14ac:dyDescent="0.25">
      <c r="B53" s="509" t="s">
        <v>525</v>
      </c>
      <c r="C53" s="167"/>
      <c r="D53" s="167"/>
      <c r="E53" s="140" t="str">
        <f>Mvalloc!H17</f>
        <v xml:space="preserve"> </v>
      </c>
      <c r="G53" s="391" t="str">
        <f>CONCATENATE("",E1," Tot Exp/Non-Appr Must Be:")</f>
        <v>2026 Tot Exp/Non-Appr Must Be:</v>
      </c>
      <c r="H53" s="392"/>
      <c r="I53" s="393"/>
      <c r="J53" s="394">
        <f>IF(J51&gt;0,IF(E76&lt;E61,IF(J51=G64,E76,((J51-G64)*(1-D78))+E61),E76+(J51-G64)),0)</f>
        <v>0</v>
      </c>
    </row>
    <row r="54" spans="2:11" x14ac:dyDescent="0.25">
      <c r="B54" s="182"/>
      <c r="C54" s="167"/>
      <c r="D54" s="167"/>
      <c r="E54" s="41"/>
      <c r="G54" s="395" t="s">
        <v>421</v>
      </c>
      <c r="H54" s="396"/>
      <c r="I54" s="396"/>
      <c r="J54" s="397">
        <f>IF(J51&gt;0,J53-E76,0)</f>
        <v>0</v>
      </c>
    </row>
    <row r="55" spans="2:11" x14ac:dyDescent="0.35">
      <c r="B55" s="182"/>
      <c r="C55" s="167"/>
      <c r="D55" s="167"/>
      <c r="E55" s="39"/>
      <c r="J55" s="2"/>
    </row>
    <row r="56" spans="2:11" x14ac:dyDescent="0.25">
      <c r="B56" s="171" t="s">
        <v>63</v>
      </c>
      <c r="C56" s="167"/>
      <c r="D56" s="167"/>
      <c r="E56" s="39"/>
      <c r="G56" s="770" t="str">
        <f>CONCATENATE("Projected Carryover Into ",E1+1,"")</f>
        <v>Projected Carryover Into 2027</v>
      </c>
      <c r="H56" s="775"/>
      <c r="I56" s="775"/>
      <c r="J56" s="772"/>
    </row>
    <row r="57" spans="2:11" x14ac:dyDescent="0.25">
      <c r="B57" s="183" t="s">
        <v>8</v>
      </c>
      <c r="C57" s="167"/>
      <c r="D57" s="167"/>
      <c r="E57" s="140">
        <f>'NR Rebate20'!E16*-1</f>
        <v>0</v>
      </c>
      <c r="G57" s="398"/>
      <c r="H57" s="385"/>
      <c r="I57" s="385"/>
      <c r="J57" s="405"/>
    </row>
    <row r="58" spans="2:11" x14ac:dyDescent="0.25">
      <c r="B58" s="102" t="s">
        <v>9</v>
      </c>
      <c r="C58" s="167"/>
      <c r="D58" s="167"/>
      <c r="E58" s="39"/>
      <c r="G58" s="400">
        <f>D73</f>
        <v>0</v>
      </c>
      <c r="H58" s="378" t="str">
        <f>CONCATENATE("",E1-1," Ending Cash Balance (est.)")</f>
        <v>2025 Ending Cash Balance (est.)</v>
      </c>
      <c r="I58" s="401"/>
      <c r="J58" s="405"/>
    </row>
    <row r="59" spans="2:11" x14ac:dyDescent="0.25">
      <c r="B59" s="162" t="s">
        <v>350</v>
      </c>
      <c r="C59" s="172" t="str">
        <f>IF(C60*0.1&lt;C58,"Exceed 10% Rule","")</f>
        <v/>
      </c>
      <c r="D59" s="172" t="str">
        <f>IF(D60*0.1&lt;D58,"Exceed 10% Rule","")</f>
        <v/>
      </c>
      <c r="E59" s="204" t="str">
        <f>IF(E60*0.1+E79&lt;E58,"Exceed 10% Rule","")</f>
        <v/>
      </c>
      <c r="G59" s="400">
        <f>E60</f>
        <v>0</v>
      </c>
      <c r="H59" s="386" t="str">
        <f>CONCATENATE("",E1," Non-AV Receipts (est.)")</f>
        <v>2026 Non-AV Receipts (est.)</v>
      </c>
      <c r="I59" s="401"/>
      <c r="J59" s="405"/>
    </row>
    <row r="60" spans="2:11" x14ac:dyDescent="0.25">
      <c r="B60" s="174" t="s">
        <v>64</v>
      </c>
      <c r="C60" s="594">
        <f>SUM(C47:C58)</f>
        <v>0</v>
      </c>
      <c r="D60" s="594">
        <f>SUM(D47:D58)</f>
        <v>0</v>
      </c>
      <c r="E60" s="594">
        <f>SUM(E47:E58)</f>
        <v>0</v>
      </c>
      <c r="G60" s="402">
        <f>IF(D78&gt;0,E77,E79)</f>
        <v>0</v>
      </c>
      <c r="H60" s="386" t="str">
        <f>CONCATENATE("",E1," Ad Valorem Tax (est.)")</f>
        <v>2026 Ad Valorem Tax (est.)</v>
      </c>
      <c r="I60" s="401"/>
      <c r="J60" s="405"/>
    </row>
    <row r="61" spans="2:11" x14ac:dyDescent="0.25">
      <c r="B61" s="174" t="s">
        <v>65</v>
      </c>
      <c r="C61" s="594">
        <f>C45+C60</f>
        <v>0</v>
      </c>
      <c r="D61" s="594">
        <f>D45+D60</f>
        <v>0</v>
      </c>
      <c r="E61" s="594">
        <f>E45+E60</f>
        <v>0</v>
      </c>
      <c r="G61" s="404">
        <f>SUM(G58:G60)</f>
        <v>0</v>
      </c>
      <c r="H61" s="386" t="str">
        <f>CONCATENATE("Total ",E1," Resources Available")</f>
        <v>Total 2026 Resources Available</v>
      </c>
      <c r="I61" s="405"/>
      <c r="J61" s="405"/>
    </row>
    <row r="62" spans="2:11" x14ac:dyDescent="0.25">
      <c r="B62" s="93" t="s">
        <v>67</v>
      </c>
      <c r="C62" s="183"/>
      <c r="D62" s="183"/>
      <c r="E62" s="38"/>
      <c r="G62" s="406"/>
      <c r="H62" s="407"/>
      <c r="I62" s="385"/>
      <c r="J62" s="405"/>
    </row>
    <row r="63" spans="2:11" x14ac:dyDescent="0.3">
      <c r="B63" s="182"/>
      <c r="C63" s="167"/>
      <c r="D63" s="167"/>
      <c r="E63" s="39"/>
      <c r="G63" s="408">
        <f>ROUND(C72*0.05+C72,0)</f>
        <v>0</v>
      </c>
      <c r="H63" s="407" t="str">
        <f>CONCATENATE("Less ",E1-2," Expenditures + 5%")</f>
        <v>Less 2024 Expenditures + 5%</v>
      </c>
      <c r="I63" s="405"/>
      <c r="J63" s="405"/>
      <c r="K63" s="379" t="str">
        <f>IF(G60=E79,"","Note: Does not include Delinquent Taxes")</f>
        <v/>
      </c>
    </row>
    <row r="64" spans="2:11" x14ac:dyDescent="0.35">
      <c r="B64" s="182"/>
      <c r="C64" s="167"/>
      <c r="D64" s="167"/>
      <c r="E64" s="39"/>
      <c r="G64" s="409">
        <f>G61-G63</f>
        <v>0</v>
      </c>
      <c r="H64" s="410" t="str">
        <f>CONCATENATE("Projected ",E1+1," carryover (est.)")</f>
        <v>Projected 2027 carryover (est.)</v>
      </c>
      <c r="I64" s="411"/>
      <c r="J64" s="412"/>
    </row>
    <row r="65" spans="2:10" x14ac:dyDescent="0.35">
      <c r="B65" s="182"/>
      <c r="C65" s="167"/>
      <c r="D65" s="167"/>
      <c r="E65" s="39"/>
      <c r="G65" s="2"/>
      <c r="H65" s="2"/>
      <c r="I65" s="2"/>
    </row>
    <row r="66" spans="2:10" x14ac:dyDescent="0.25">
      <c r="B66" s="182"/>
      <c r="C66" s="167"/>
      <c r="D66" s="167"/>
      <c r="E66" s="39"/>
      <c r="G66" s="756" t="s">
        <v>706</v>
      </c>
      <c r="H66" s="757"/>
      <c r="I66" s="757"/>
      <c r="J66" s="758"/>
    </row>
    <row r="67" spans="2:10" x14ac:dyDescent="0.25">
      <c r="B67" s="182"/>
      <c r="C67" s="167"/>
      <c r="D67" s="167"/>
      <c r="E67" s="39"/>
      <c r="G67" s="759"/>
      <c r="H67" s="760"/>
      <c r="I67" s="760"/>
      <c r="J67" s="761"/>
    </row>
    <row r="68" spans="2:10" x14ac:dyDescent="0.25">
      <c r="B68" s="182"/>
      <c r="C68" s="167"/>
      <c r="D68" s="167"/>
      <c r="E68" s="39"/>
      <c r="G68" s="580" t="str">
        <f>'Budget Hearing Notice'!H25</f>
        <v xml:space="preserve">  </v>
      </c>
      <c r="H68" s="378" t="str">
        <f>CONCATENATE("",E1," Estimated Fund Mill Rate")</f>
        <v>2026 Estimated Fund Mill Rate</v>
      </c>
      <c r="I68" s="581"/>
      <c r="J68" s="582"/>
    </row>
    <row r="69" spans="2:10" x14ac:dyDescent="0.25">
      <c r="B69" s="183" t="str">
        <f>CONCATENATE("Cash Reserve (",E1," column)")</f>
        <v>Cash Reserve (2026 column)</v>
      </c>
      <c r="C69" s="167"/>
      <c r="D69" s="167"/>
      <c r="E69" s="39"/>
      <c r="G69" s="583" t="str">
        <f>'Budget Hearing Notice'!E25</f>
        <v xml:space="preserve">  </v>
      </c>
      <c r="H69" s="378" t="str">
        <f>CONCATENATE("",E1-1," Fund Mill Rate")</f>
        <v>2025 Fund Mill Rate</v>
      </c>
      <c r="I69" s="581"/>
      <c r="J69" s="582"/>
    </row>
    <row r="70" spans="2:10" x14ac:dyDescent="0.25">
      <c r="B70" s="183" t="s">
        <v>9</v>
      </c>
      <c r="C70" s="167"/>
      <c r="D70" s="167"/>
      <c r="E70" s="39"/>
      <c r="G70" s="584">
        <f>inputOth!D20</f>
        <v>33.582999999999998</v>
      </c>
      <c r="H70" s="585" t="s">
        <v>707</v>
      </c>
      <c r="I70" s="581"/>
      <c r="J70" s="582"/>
    </row>
    <row r="71" spans="2:10" x14ac:dyDescent="0.25">
      <c r="B71" s="183" t="s">
        <v>351</v>
      </c>
      <c r="C71" s="172" t="str">
        <f>IF(C72*0.1&lt;C70,"Exceed 10% Rule","")</f>
        <v/>
      </c>
      <c r="D71" s="172" t="str">
        <f>IF(D72*0.1&lt;D70,"Exceed 10% Rule","")</f>
        <v/>
      </c>
      <c r="E71" s="204" t="str">
        <f>IF(E72*0.1&lt;E70,"Exceed 10% Rule","")</f>
        <v/>
      </c>
      <c r="G71" s="580">
        <f>'Budget Hearing Notice'!H52</f>
        <v>34.4</v>
      </c>
      <c r="H71" s="378" t="str">
        <f>CONCATENATE(E1," Estimated Total Mill Rate")</f>
        <v>2026 Estimated Total Mill Rate</v>
      </c>
      <c r="I71" s="581"/>
      <c r="J71" s="582"/>
    </row>
    <row r="72" spans="2:10" x14ac:dyDescent="0.25">
      <c r="B72" s="174" t="s">
        <v>71</v>
      </c>
      <c r="C72" s="594">
        <f>SUM(C63:C70)</f>
        <v>0</v>
      </c>
      <c r="D72" s="594">
        <f>SUM(D63:D70)</f>
        <v>0</v>
      </c>
      <c r="E72" s="594">
        <f>SUM(E63:E70)</f>
        <v>0</v>
      </c>
      <c r="G72" s="586">
        <f>'Budget Hearing Notice'!E52</f>
        <v>34.4</v>
      </c>
      <c r="H72" s="378" t="str">
        <f>CONCATENATE(E1-1," Total Mill Rate")</f>
        <v>2025 Total Mill Rate</v>
      </c>
      <c r="I72" s="581"/>
      <c r="J72" s="582"/>
    </row>
    <row r="73" spans="2:10" x14ac:dyDescent="0.25">
      <c r="B73" s="93" t="s">
        <v>134</v>
      </c>
      <c r="C73" s="140">
        <f>C61-C72</f>
        <v>0</v>
      </c>
      <c r="D73" s="140">
        <f>D61-D72</f>
        <v>0</v>
      </c>
      <c r="E73" s="192" t="s">
        <v>49</v>
      </c>
      <c r="G73" s="398"/>
      <c r="H73" s="385"/>
      <c r="I73" s="385"/>
      <c r="J73" s="405"/>
    </row>
    <row r="74" spans="2:10" x14ac:dyDescent="0.25">
      <c r="B74" s="108" t="str">
        <f>CONCATENATE("",E1-2,"/",E1-1,"/",E1," Budget Authority Amount:")</f>
        <v>2024/2025/2026 Budget Authority Amount:</v>
      </c>
      <c r="C74" s="447">
        <f>inputOth!B73</f>
        <v>0</v>
      </c>
      <c r="D74" s="447">
        <f>inputPrYr!D29</f>
        <v>0</v>
      </c>
      <c r="E74" s="140">
        <f>E72</f>
        <v>0</v>
      </c>
      <c r="G74" s="762" t="s">
        <v>708</v>
      </c>
      <c r="H74" s="763"/>
      <c r="I74" s="763"/>
      <c r="J74" s="766" t="str">
        <f>IF(G71&gt;G70, "Yes", "No")</f>
        <v>Yes</v>
      </c>
    </row>
    <row r="75" spans="2:10" x14ac:dyDescent="0.25">
      <c r="B75" s="80"/>
      <c r="C75" s="749" t="s">
        <v>319</v>
      </c>
      <c r="D75" s="750"/>
      <c r="E75" s="61"/>
      <c r="G75" s="764"/>
      <c r="H75" s="765"/>
      <c r="I75" s="765"/>
      <c r="J75" s="767"/>
    </row>
    <row r="76" spans="2:10" x14ac:dyDescent="0.25">
      <c r="B76" s="331" t="str">
        <f>CONCATENATE(C99,"     ",D99)</f>
        <v xml:space="preserve">     </v>
      </c>
      <c r="C76" s="751" t="s">
        <v>320</v>
      </c>
      <c r="D76" s="752"/>
      <c r="E76" s="140">
        <f>E72+E75</f>
        <v>0</v>
      </c>
      <c r="G76" s="768" t="str">
        <f>IF(J74="Yes", "Follow procedure prescribed by KSA 79-2988 to exceed the Revenue Neutral Rate.", " ")</f>
        <v>Follow procedure prescribed by KSA 79-2988 to exceed the Revenue Neutral Rate.</v>
      </c>
      <c r="H76" s="768"/>
      <c r="I76" s="768"/>
      <c r="J76" s="768"/>
    </row>
    <row r="77" spans="2:10" x14ac:dyDescent="0.25">
      <c r="B77" s="331" t="str">
        <f>CONCATENATE(C100,"     ",D100)</f>
        <v xml:space="preserve">     </v>
      </c>
      <c r="C77" s="185"/>
      <c r="D77" s="107" t="s">
        <v>72</v>
      </c>
      <c r="E77" s="140">
        <f>IF(E76-E61&gt;0,E76-E61,0)</f>
        <v>0</v>
      </c>
      <c r="G77" s="769"/>
      <c r="H77" s="769"/>
      <c r="I77" s="769"/>
      <c r="J77" s="769"/>
    </row>
    <row r="78" spans="2:10" x14ac:dyDescent="0.25">
      <c r="B78" s="80"/>
      <c r="C78" s="257" t="s">
        <v>318</v>
      </c>
      <c r="D78" s="451">
        <f>inputOth!$E$50</f>
        <v>0</v>
      </c>
      <c r="E78" s="140">
        <f>ROUND(IF(D78&gt;0,(E77*D78),0),0)</f>
        <v>0</v>
      </c>
      <c r="G78" s="769"/>
      <c r="H78" s="769"/>
      <c r="I78" s="769"/>
      <c r="J78" s="769"/>
    </row>
    <row r="79" spans="2:10" ht="16" thickBot="1" x14ac:dyDescent="0.3">
      <c r="B79" s="107"/>
      <c r="C79" s="726" t="str">
        <f>CONCATENATE("Amount of  ",$E$1-1," Ad Valorem Tax")</f>
        <v>Amount of  2025 Ad Valorem Tax</v>
      </c>
      <c r="D79" s="753"/>
      <c r="E79" s="383">
        <f>E77+E78</f>
        <v>0</v>
      </c>
      <c r="F79" s="184"/>
    </row>
    <row r="80" spans="2:10" ht="16" thickTop="1" x14ac:dyDescent="0.25">
      <c r="B80" s="28"/>
      <c r="C80" s="28"/>
      <c r="D80" s="28"/>
      <c r="E80" s="28"/>
      <c r="F80" s="452" t="str">
        <f>IF(E72/0.95-E72&lt;E75,"Exceeds 5%","")</f>
        <v/>
      </c>
    </row>
    <row r="81" spans="2:5" x14ac:dyDescent="0.25">
      <c r="B81" s="540" t="s">
        <v>535</v>
      </c>
      <c r="C81" s="69"/>
      <c r="D81" s="69"/>
      <c r="E81" s="512"/>
    </row>
    <row r="82" spans="2:5" x14ac:dyDescent="0.25">
      <c r="B82" s="398"/>
      <c r="C82" s="28"/>
      <c r="D82" s="28"/>
      <c r="E82" s="405"/>
    </row>
    <row r="83" spans="2:5" x14ac:dyDescent="0.25">
      <c r="B83" s="515"/>
      <c r="C83" s="43"/>
      <c r="D83" s="43"/>
      <c r="E83" s="49"/>
    </row>
    <row r="84" spans="2:5" x14ac:dyDescent="0.25">
      <c r="B84" s="28"/>
      <c r="C84" s="28"/>
      <c r="D84" s="28"/>
      <c r="E84" s="28"/>
    </row>
    <row r="85" spans="2:5" x14ac:dyDescent="0.25">
      <c r="B85" s="274" t="s">
        <v>74</v>
      </c>
      <c r="C85" s="465"/>
      <c r="D85" s="28"/>
      <c r="E85" s="28"/>
    </row>
    <row r="97" spans="3:4" x14ac:dyDescent="0.25">
      <c r="C97" s="330" t="str">
        <f>IF(C33&gt;C35,"See Tab A","")</f>
        <v/>
      </c>
      <c r="D97" s="330" t="str">
        <f>IF(D31&gt;D35,"See Tab C","")</f>
        <v/>
      </c>
    </row>
    <row r="98" spans="3:4" hidden="1" x14ac:dyDescent="0.25">
      <c r="C98" s="330" t="str">
        <f>IF(C34&lt;0,"See Tab B","")</f>
        <v/>
      </c>
      <c r="D98" s="330" t="str">
        <f>IF(D34&lt;0,"See Tab D","")</f>
        <v/>
      </c>
    </row>
    <row r="99" spans="3:4" hidden="1" x14ac:dyDescent="0.25">
      <c r="C99" s="330" t="str">
        <f>IF(C70&gt;C74,"See Tab A","")</f>
        <v/>
      </c>
      <c r="D99" s="330" t="str">
        <f>IF(D70&gt;D74,"See Tab C","")</f>
        <v/>
      </c>
    </row>
    <row r="100" spans="3:4" hidden="1" x14ac:dyDescent="0.25">
      <c r="C100" s="330" t="str">
        <f>IF(C73&lt;0,"See Tab B","")</f>
        <v/>
      </c>
      <c r="D100" s="330" t="str">
        <f>IF(D73&lt;0,"See Tab D","")</f>
        <v/>
      </c>
    </row>
    <row r="101" spans="3:4" hidden="1" x14ac:dyDescent="0.25"/>
  </sheetData>
  <sheetProtection sheet="1" objects="1" scenarios="1"/>
  <mergeCells count="18">
    <mergeCell ref="C79:D79"/>
    <mergeCell ref="C40:D40"/>
    <mergeCell ref="C75:D75"/>
    <mergeCell ref="C76:D76"/>
    <mergeCell ref="G49:J49"/>
    <mergeCell ref="G56:J56"/>
    <mergeCell ref="G66:J67"/>
    <mergeCell ref="G74:I75"/>
    <mergeCell ref="J74:J75"/>
    <mergeCell ref="G76:J78"/>
    <mergeCell ref="C36:D36"/>
    <mergeCell ref="C37:D37"/>
    <mergeCell ref="G10:J10"/>
    <mergeCell ref="G17:J17"/>
    <mergeCell ref="G27:J28"/>
    <mergeCell ref="G35:I36"/>
    <mergeCell ref="J35:J36"/>
    <mergeCell ref="G37:J39"/>
  </mergeCells>
  <phoneticPr fontId="0" type="noConversion"/>
  <conditionalFormatting sqref="C19">
    <cfRule type="cellIs" dxfId="241" priority="19" stopIfTrue="1" operator="greaterThan">
      <formula>$C$21*0.1</formula>
    </cfRule>
  </conditionalFormatting>
  <conditionalFormatting sqref="C31">
    <cfRule type="cellIs" dxfId="240" priority="9" stopIfTrue="1" operator="greaterThan">
      <formula>$C$33*0.1</formula>
    </cfRule>
  </conditionalFormatting>
  <conditionalFormatting sqref="C58">
    <cfRule type="cellIs" dxfId="239" priority="21" stopIfTrue="1" operator="greaterThan">
      <formula>$C$60*0.1</formula>
    </cfRule>
  </conditionalFormatting>
  <conditionalFormatting sqref="C70">
    <cfRule type="cellIs" dxfId="238" priority="14" stopIfTrue="1" operator="greaterThan">
      <formula>$C$72*0.1</formula>
    </cfRule>
  </conditionalFormatting>
  <conditionalFormatting sqref="D19">
    <cfRule type="cellIs" dxfId="237" priority="18" stopIfTrue="1" operator="greaterThan">
      <formula>$D$21*0.1</formula>
    </cfRule>
  </conditionalFormatting>
  <conditionalFormatting sqref="D31">
    <cfRule type="cellIs" dxfId="236" priority="10" stopIfTrue="1" operator="greaterThan">
      <formula>$D$33*0.1</formula>
    </cfRule>
  </conditionalFormatting>
  <conditionalFormatting sqref="D58">
    <cfRule type="cellIs" dxfId="235" priority="20" stopIfTrue="1" operator="greaterThan">
      <formula>$D$60*0.1</formula>
    </cfRule>
  </conditionalFormatting>
  <conditionalFormatting sqref="D70">
    <cfRule type="cellIs" dxfId="234" priority="17" stopIfTrue="1" operator="greaterThan">
      <formula>$D$72*0.1</formula>
    </cfRule>
  </conditionalFormatting>
  <conditionalFormatting sqref="E19">
    <cfRule type="cellIs" dxfId="233" priority="23" stopIfTrue="1" operator="greaterThan">
      <formula>$E$21*0.1+E40</formula>
    </cfRule>
  </conditionalFormatting>
  <conditionalFormatting sqref="E31">
    <cfRule type="cellIs" dxfId="232" priority="5" stopIfTrue="1" operator="greaterThan">
      <formula>$E$33*0.1</formula>
    </cfRule>
  </conditionalFormatting>
  <conditionalFormatting sqref="E36">
    <cfRule type="cellIs" dxfId="231" priority="6" stopIfTrue="1" operator="greaterThan">
      <formula>$E$33/0.95-$E$33</formula>
    </cfRule>
  </conditionalFormatting>
  <conditionalFormatting sqref="E58">
    <cfRule type="cellIs" dxfId="230" priority="22" stopIfTrue="1" operator="greaterThan">
      <formula>$E$60*0.1+E79</formula>
    </cfRule>
  </conditionalFormatting>
  <conditionalFormatting sqref="E70">
    <cfRule type="cellIs" dxfId="229" priority="7" stopIfTrue="1" operator="greaterThan">
      <formula>$E$72*0.1</formula>
    </cfRule>
  </conditionalFormatting>
  <conditionalFormatting sqref="E75">
    <cfRule type="cellIs" dxfId="228" priority="8" stopIfTrue="1" operator="greaterThan">
      <formula>$E$72/0.95-$E$72</formula>
    </cfRule>
  </conditionalFormatting>
  <conditionalFormatting sqref="J35">
    <cfRule type="containsText" dxfId="227" priority="2" operator="containsText" text="Yes">
      <formula>NOT(ISERROR(SEARCH("Yes",J35)))</formula>
    </cfRule>
  </conditionalFormatting>
  <conditionalFormatting sqref="J74">
    <cfRule type="containsText" dxfId="226" priority="1" operator="containsText" text="Yes">
      <formula>NOT(ISERROR(SEARCH("Yes",J74)))</formula>
    </cfRule>
  </conditionalFormatting>
  <pageMargins left="0.5" right="0.5" top="1" bottom="0.5" header="0.5" footer="0.5"/>
  <pageSetup scale="51" orientation="portrait" blackAndWhite="1" horizontalDpi="120" verticalDpi="144" r:id="rId1"/>
  <headerFooter alignWithMargins="0">
    <oddHeader>&amp;RState of Kansas
City</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pageSetUpPr fitToPage="1"/>
  </sheetPr>
  <dimension ref="B1:K101"/>
  <sheetViews>
    <sheetView topLeftCell="A10" zoomScaleNormal="100" workbookViewId="0">
      <selection activeCell="J42" sqref="J42"/>
    </sheetView>
  </sheetViews>
  <sheetFormatPr defaultColWidth="8.9140625" defaultRowHeight="15.5" x14ac:dyDescent="0.25"/>
  <cols>
    <col min="1" max="1" width="2.4140625" style="26" customWidth="1"/>
    <col min="2" max="2" width="31.08203125" style="26" customWidth="1"/>
    <col min="3" max="4" width="15.75" style="26" customWidth="1"/>
    <col min="5" max="5" width="16.25" style="26" customWidth="1"/>
    <col min="6" max="6" width="8.9140625" style="26"/>
    <col min="7" max="7" width="10.25" style="26" customWidth="1"/>
    <col min="8" max="8" width="8.9140625" style="26"/>
    <col min="9" max="9" width="5.58203125" style="26" customWidth="1"/>
    <col min="10" max="10" width="10" style="26" customWidth="1"/>
    <col min="11" max="16384" width="8.9140625" style="26"/>
  </cols>
  <sheetData>
    <row r="1" spans="2:10" x14ac:dyDescent="0.25">
      <c r="B1" s="47" t="str">
        <f>(inputPrYr!D3)</f>
        <v>The City of Colby</v>
      </c>
      <c r="C1" s="28"/>
      <c r="D1" s="28"/>
      <c r="E1" s="80">
        <f>inputPrYr!C6</f>
        <v>2026</v>
      </c>
    </row>
    <row r="2" spans="2:10" x14ac:dyDescent="0.25">
      <c r="B2" s="28"/>
      <c r="C2" s="28"/>
      <c r="D2" s="28"/>
      <c r="E2" s="107"/>
    </row>
    <row r="3" spans="2:10" x14ac:dyDescent="0.25">
      <c r="B3" s="160" t="s">
        <v>119</v>
      </c>
      <c r="C3" s="115"/>
      <c r="D3" s="115"/>
      <c r="E3" s="132"/>
    </row>
    <row r="4" spans="2:10" x14ac:dyDescent="0.25">
      <c r="B4" s="29" t="s">
        <v>57</v>
      </c>
      <c r="C4" s="443" t="s">
        <v>475</v>
      </c>
      <c r="D4" s="444" t="s">
        <v>476</v>
      </c>
      <c r="E4" s="87" t="s">
        <v>477</v>
      </c>
    </row>
    <row r="5" spans="2:10" x14ac:dyDescent="0.25">
      <c r="B5" s="334">
        <f>inputPrYr!B30</f>
        <v>0</v>
      </c>
      <c r="C5" s="137" t="str">
        <f>CONCATENATE("Actual for ",E1-2,"")</f>
        <v>Actual for 2024</v>
      </c>
      <c r="D5" s="137" t="str">
        <f>CONCATENATE("Estimate for ",E1-1,"")</f>
        <v>Estimate for 2025</v>
      </c>
      <c r="E5" s="122" t="str">
        <f>CONCATENATE("Year for ",E1,"")</f>
        <v>Year for 2026</v>
      </c>
    </row>
    <row r="6" spans="2:10" x14ac:dyDescent="0.25">
      <c r="B6" s="162" t="s">
        <v>133</v>
      </c>
      <c r="C6" s="167"/>
      <c r="D6" s="165">
        <f>C34</f>
        <v>0</v>
      </c>
      <c r="E6" s="140">
        <f>D34</f>
        <v>0</v>
      </c>
    </row>
    <row r="7" spans="2:10" x14ac:dyDescent="0.25">
      <c r="B7" s="166" t="s">
        <v>135</v>
      </c>
      <c r="C7" s="102"/>
      <c r="D7" s="102"/>
      <c r="E7" s="52"/>
    </row>
    <row r="8" spans="2:10" x14ac:dyDescent="0.25">
      <c r="B8" s="93" t="s">
        <v>58</v>
      </c>
      <c r="C8" s="167"/>
      <c r="D8" s="165">
        <f>IF(inputPrYr!H21&gt;0,inputPrYr!G34,inputPrYr!E30)</f>
        <v>0</v>
      </c>
      <c r="E8" s="192" t="s">
        <v>49</v>
      </c>
    </row>
    <row r="9" spans="2:10" x14ac:dyDescent="0.25">
      <c r="B9" s="93" t="s">
        <v>59</v>
      </c>
      <c r="C9" s="167"/>
      <c r="D9" s="167"/>
      <c r="E9" s="39"/>
      <c r="G9" s="770" t="str">
        <f>CONCATENATE("Desired Carryover Into ",E1+1,"")</f>
        <v>Desired Carryover Into 2027</v>
      </c>
      <c r="H9" s="754"/>
      <c r="I9" s="754"/>
      <c r="J9" s="755"/>
    </row>
    <row r="10" spans="2:10" x14ac:dyDescent="0.25">
      <c r="B10" s="93" t="s">
        <v>60</v>
      </c>
      <c r="C10" s="167"/>
      <c r="D10" s="167"/>
      <c r="E10" s="140" t="str">
        <f>Mvalloc!D18</f>
        <v xml:space="preserve">  </v>
      </c>
      <c r="G10" s="384"/>
      <c r="H10" s="385"/>
      <c r="I10" s="386"/>
      <c r="J10" s="387"/>
    </row>
    <row r="11" spans="2:10" x14ac:dyDescent="0.25">
      <c r="B11" s="93" t="s">
        <v>61</v>
      </c>
      <c r="C11" s="167"/>
      <c r="D11" s="167"/>
      <c r="E11" s="140" t="str">
        <f>Mvalloc!E18</f>
        <v xml:space="preserve"> </v>
      </c>
      <c r="G11" s="388" t="s">
        <v>347</v>
      </c>
      <c r="H11" s="386"/>
      <c r="I11" s="386"/>
      <c r="J11" s="389">
        <v>0</v>
      </c>
    </row>
    <row r="12" spans="2:10" x14ac:dyDescent="0.25">
      <c r="B12" s="102" t="s">
        <v>126</v>
      </c>
      <c r="C12" s="167"/>
      <c r="D12" s="167"/>
      <c r="E12" s="140" t="str">
        <f>Mvalloc!F18</f>
        <v xml:space="preserve"> </v>
      </c>
      <c r="G12" s="384" t="s">
        <v>348</v>
      </c>
      <c r="H12" s="385"/>
      <c r="I12" s="385"/>
      <c r="J12" s="390" t="str">
        <f>IF(J11=0,"",ROUND((J11+E40-G24)/inputOth!E7*1000,3)-G29)</f>
        <v/>
      </c>
    </row>
    <row r="13" spans="2:10" x14ac:dyDescent="0.25">
      <c r="B13" s="509" t="s">
        <v>524</v>
      </c>
      <c r="C13" s="167"/>
      <c r="D13" s="167"/>
      <c r="E13" s="140" t="str">
        <f>Mvalloc!G18</f>
        <v xml:space="preserve"> </v>
      </c>
      <c r="G13" s="391" t="str">
        <f>CONCATENATE("",E1," Tot Exp/Non-Appr Must Be:")</f>
        <v>2026 Tot Exp/Non-Appr Must Be:</v>
      </c>
      <c r="H13" s="392"/>
      <c r="I13" s="393"/>
      <c r="J13" s="394">
        <f>IF(J11&gt;0,IF(E37&lt;E21,IF(J11=G24,E37,((J11-G24)*(1-D39))+E21),E37+(J11-G24)),0)</f>
        <v>0</v>
      </c>
    </row>
    <row r="14" spans="2:10" x14ac:dyDescent="0.25">
      <c r="B14" s="509" t="s">
        <v>525</v>
      </c>
      <c r="C14" s="167"/>
      <c r="D14" s="167"/>
      <c r="E14" s="140" t="str">
        <f>Mvalloc!H18</f>
        <v xml:space="preserve"> </v>
      </c>
      <c r="G14" s="395" t="s">
        <v>421</v>
      </c>
      <c r="H14" s="396"/>
      <c r="I14" s="396"/>
      <c r="J14" s="397">
        <f>IF(J11&gt;0,J13-E37,0)</f>
        <v>0</v>
      </c>
    </row>
    <row r="15" spans="2:10" x14ac:dyDescent="0.35">
      <c r="B15" s="182"/>
      <c r="C15" s="167"/>
      <c r="D15" s="167"/>
      <c r="E15" s="39"/>
      <c r="J15" s="2"/>
    </row>
    <row r="16" spans="2:10" x14ac:dyDescent="0.25">
      <c r="B16" s="182"/>
      <c r="C16" s="167"/>
      <c r="D16" s="167"/>
      <c r="E16" s="39"/>
      <c r="G16" s="770" t="str">
        <f>CONCATENATE("Projected Carryover Into ",E1+1,"")</f>
        <v>Projected Carryover Into 2027</v>
      </c>
      <c r="H16" s="771"/>
      <c r="I16" s="771"/>
      <c r="J16" s="772"/>
    </row>
    <row r="17" spans="2:11" x14ac:dyDescent="0.35">
      <c r="B17" s="171" t="s">
        <v>63</v>
      </c>
      <c r="C17" s="167"/>
      <c r="D17" s="167"/>
      <c r="E17" s="39"/>
      <c r="G17" s="384"/>
      <c r="H17" s="386"/>
      <c r="I17" s="386"/>
      <c r="J17" s="399"/>
    </row>
    <row r="18" spans="2:11" x14ac:dyDescent="0.35">
      <c r="B18" s="183" t="s">
        <v>8</v>
      </c>
      <c r="C18" s="167"/>
      <c r="D18" s="167"/>
      <c r="E18" s="140">
        <f>'NR Rebate20'!E17*-1</f>
        <v>0</v>
      </c>
      <c r="G18" s="400">
        <f>D34</f>
        <v>0</v>
      </c>
      <c r="H18" s="378" t="str">
        <f>CONCATENATE("",E1-1," Ending Cash Balance (est.)")</f>
        <v>2025 Ending Cash Balance (est.)</v>
      </c>
      <c r="I18" s="401"/>
      <c r="J18" s="399"/>
    </row>
    <row r="19" spans="2:11" x14ac:dyDescent="0.35">
      <c r="B19" s="102" t="s">
        <v>9</v>
      </c>
      <c r="C19" s="167"/>
      <c r="D19" s="167"/>
      <c r="E19" s="39"/>
      <c r="G19" s="400" t="str">
        <f>E20</f>
        <v/>
      </c>
      <c r="H19" s="386" t="str">
        <f>CONCATENATE("",E1," Non-AV Receipts (est.)")</f>
        <v>2026 Non-AV Receipts (est.)</v>
      </c>
      <c r="I19" s="401"/>
      <c r="J19" s="399"/>
    </row>
    <row r="20" spans="2:11" x14ac:dyDescent="0.3">
      <c r="B20" s="162" t="s">
        <v>350</v>
      </c>
      <c r="C20" s="172" t="str">
        <f>IF(C21*0.1&lt;C19,"Exceed 10% Rule","")</f>
        <v/>
      </c>
      <c r="D20" s="172" t="str">
        <f>IF(D21*0.1&lt;D19,"Exceed 10% Rule","")</f>
        <v/>
      </c>
      <c r="E20" s="204" t="str">
        <f>IF(E21*0.1+E40&lt;E19,"Exceed 10% Rule","")</f>
        <v/>
      </c>
      <c r="G20" s="402">
        <f>IF(E39&gt;0,E38,E40)</f>
        <v>0</v>
      </c>
      <c r="H20" s="386" t="str">
        <f>CONCATENATE("",E1," Ad Valorem Tax (est.)")</f>
        <v>2026 Ad Valorem Tax (est.)</v>
      </c>
      <c r="I20" s="401"/>
      <c r="J20" s="380"/>
      <c r="K20" s="379" t="str">
        <f>IF(G20=E40,"","Note: Does not include Delinquent Taxes")</f>
        <v/>
      </c>
    </row>
    <row r="21" spans="2:11" x14ac:dyDescent="0.35">
      <c r="B21" s="174" t="s">
        <v>64</v>
      </c>
      <c r="C21" s="594">
        <f>SUM(C8:C19)</f>
        <v>0</v>
      </c>
      <c r="D21" s="594">
        <f>SUM(D8:D19)</f>
        <v>0</v>
      </c>
      <c r="E21" s="594">
        <f>SUM(E8:E19)</f>
        <v>0</v>
      </c>
      <c r="G21" s="400">
        <f>SUM(G18:G20)</f>
        <v>0</v>
      </c>
      <c r="H21" s="386" t="str">
        <f>CONCATENATE("Total ",E1," Resources Available")</f>
        <v>Total 2026 Resources Available</v>
      </c>
      <c r="I21" s="401"/>
      <c r="J21" s="399"/>
    </row>
    <row r="22" spans="2:11" x14ac:dyDescent="0.35">
      <c r="B22" s="174" t="s">
        <v>65</v>
      </c>
      <c r="C22" s="594">
        <f>C6+C21</f>
        <v>0</v>
      </c>
      <c r="D22" s="594">
        <f>D6+D21</f>
        <v>0</v>
      </c>
      <c r="E22" s="594">
        <f>E6+E21</f>
        <v>0</v>
      </c>
      <c r="G22" s="436"/>
      <c r="H22" s="386"/>
      <c r="I22" s="386"/>
      <c r="J22" s="399"/>
    </row>
    <row r="23" spans="2:11" x14ac:dyDescent="0.35">
      <c r="B23" s="93" t="s">
        <v>67</v>
      </c>
      <c r="C23" s="183"/>
      <c r="D23" s="183"/>
      <c r="E23" s="38"/>
      <c r="G23" s="402">
        <f>ROUND(C33*0.05+C33,0)</f>
        <v>0</v>
      </c>
      <c r="H23" s="386" t="str">
        <f>CONCATENATE("Less ",E1-2," Expenditures + 5%")</f>
        <v>Less 2024 Expenditures + 5%</v>
      </c>
      <c r="I23" s="401"/>
      <c r="J23" s="399"/>
    </row>
    <row r="24" spans="2:11" x14ac:dyDescent="0.35">
      <c r="B24" s="182"/>
      <c r="C24" s="167"/>
      <c r="D24" s="167"/>
      <c r="E24" s="39"/>
      <c r="G24" s="437">
        <f>G21-G23</f>
        <v>0</v>
      </c>
      <c r="H24" s="438" t="str">
        <f>CONCATENATE("Projected ",E1+1," carryover (est.)")</f>
        <v>Projected 2027 carryover (est.)</v>
      </c>
      <c r="I24" s="439"/>
      <c r="J24" s="412"/>
    </row>
    <row r="25" spans="2:11" x14ac:dyDescent="0.35">
      <c r="B25" s="182"/>
      <c r="C25" s="167"/>
      <c r="D25" s="167"/>
      <c r="E25" s="39"/>
      <c r="G25" s="2"/>
      <c r="H25" s="2"/>
      <c r="I25" s="2"/>
      <c r="J25" s="2"/>
    </row>
    <row r="26" spans="2:11" x14ac:dyDescent="0.25">
      <c r="B26" s="182"/>
      <c r="C26" s="167"/>
      <c r="D26" s="167"/>
      <c r="E26" s="39"/>
      <c r="G26" s="756" t="s">
        <v>706</v>
      </c>
      <c r="H26" s="757"/>
      <c r="I26" s="757"/>
      <c r="J26" s="758"/>
    </row>
    <row r="27" spans="2:11" x14ac:dyDescent="0.25">
      <c r="B27" s="182"/>
      <c r="C27" s="167"/>
      <c r="D27" s="167"/>
      <c r="E27" s="39"/>
      <c r="G27" s="759"/>
      <c r="H27" s="760"/>
      <c r="I27" s="760"/>
      <c r="J27" s="761"/>
    </row>
    <row r="28" spans="2:11" x14ac:dyDescent="0.25">
      <c r="B28" s="182"/>
      <c r="C28" s="167"/>
      <c r="D28" s="167"/>
      <c r="E28" s="39"/>
      <c r="G28" s="580" t="str">
        <f>'Budget Hearing Notice'!H26</f>
        <v xml:space="preserve">  </v>
      </c>
      <c r="H28" s="378" t="str">
        <f>CONCATENATE("",E1," Estimated Fund Mill Rate")</f>
        <v>2026 Estimated Fund Mill Rate</v>
      </c>
      <c r="I28" s="581"/>
      <c r="J28" s="582"/>
    </row>
    <row r="29" spans="2:11" x14ac:dyDescent="0.25">
      <c r="B29" s="182"/>
      <c r="C29" s="167"/>
      <c r="D29" s="167"/>
      <c r="E29" s="39"/>
      <c r="G29" s="583" t="str">
        <f>'Budget Hearing Notice'!E26</f>
        <v xml:space="preserve">  </v>
      </c>
      <c r="H29" s="378" t="str">
        <f>CONCATENATE("",E1-1," Fund Mill Rate")</f>
        <v>2025 Fund Mill Rate</v>
      </c>
      <c r="I29" s="581"/>
      <c r="J29" s="582"/>
    </row>
    <row r="30" spans="2:11" x14ac:dyDescent="0.25">
      <c r="B30" s="183" t="str">
        <f>CONCATENATE("Cash Reserve (",E1," column)")</f>
        <v>Cash Reserve (2026 column)</v>
      </c>
      <c r="C30" s="167"/>
      <c r="D30" s="167"/>
      <c r="E30" s="39"/>
      <c r="G30" s="584">
        <f>inputOth!D20</f>
        <v>33.582999999999998</v>
      </c>
      <c r="H30" s="585" t="s">
        <v>707</v>
      </c>
      <c r="I30" s="581"/>
      <c r="J30" s="582"/>
    </row>
    <row r="31" spans="2:11" x14ac:dyDescent="0.25">
      <c r="B31" s="183" t="s">
        <v>9</v>
      </c>
      <c r="C31" s="167"/>
      <c r="D31" s="167"/>
      <c r="E31" s="39"/>
      <c r="G31" s="580">
        <f>'Budget Hearing Notice'!H52</f>
        <v>34.4</v>
      </c>
      <c r="H31" s="378" t="str">
        <f>CONCATENATE(E1," Estimated Total Mill Rate")</f>
        <v>2026 Estimated Total Mill Rate</v>
      </c>
      <c r="I31" s="581"/>
      <c r="J31" s="582"/>
    </row>
    <row r="32" spans="2:11" x14ac:dyDescent="0.25">
      <c r="B32" s="183" t="s">
        <v>351</v>
      </c>
      <c r="C32" s="172" t="str">
        <f>IF(C33*0.1&lt;C31,"Exceed 10% Rule","")</f>
        <v/>
      </c>
      <c r="D32" s="172" t="str">
        <f>IF(D33*0.1&lt;D31,"Exceed 10% Rule","")</f>
        <v/>
      </c>
      <c r="E32" s="204" t="str">
        <f>IF(E33*0.1&lt;E31,"Exceed 10% Rule","")</f>
        <v/>
      </c>
      <c r="G32" s="586">
        <f>'Budget Hearing Notice'!E52</f>
        <v>34.4</v>
      </c>
      <c r="H32" s="378" t="str">
        <f>CONCATENATE(E1-1," Total Mill Rate")</f>
        <v>2025 Total Mill Rate</v>
      </c>
      <c r="I32" s="581"/>
      <c r="J32" s="582"/>
    </row>
    <row r="33" spans="2:10" x14ac:dyDescent="0.25">
      <c r="B33" s="174" t="s">
        <v>71</v>
      </c>
      <c r="C33" s="594">
        <f>SUM(C25:C31)</f>
        <v>0</v>
      </c>
      <c r="D33" s="594">
        <f>SUM(D25:D31)</f>
        <v>0</v>
      </c>
      <c r="E33" s="594">
        <f>SUM(E25:E31)</f>
        <v>0</v>
      </c>
      <c r="G33" s="398"/>
      <c r="H33" s="385"/>
      <c r="I33" s="385"/>
      <c r="J33" s="405"/>
    </row>
    <row r="34" spans="2:10" x14ac:dyDescent="0.25">
      <c r="B34" s="93" t="s">
        <v>134</v>
      </c>
      <c r="C34" s="140">
        <f>C22-C33</f>
        <v>0</v>
      </c>
      <c r="D34" s="140">
        <f>D22-D33</f>
        <v>0</v>
      </c>
      <c r="E34" s="192" t="s">
        <v>49</v>
      </c>
      <c r="G34" s="762" t="s">
        <v>708</v>
      </c>
      <c r="H34" s="763"/>
      <c r="I34" s="763"/>
      <c r="J34" s="766" t="str">
        <f>IF(G31&gt;G30, "Yes", "No")</f>
        <v>Yes</v>
      </c>
    </row>
    <row r="35" spans="2:10" x14ac:dyDescent="0.25">
      <c r="B35" s="108" t="str">
        <f>CONCATENATE("",E1-2,"/",E1-1,"/",E1," Budget Authority Amount:")</f>
        <v>2024/2025/2026 Budget Authority Amount:</v>
      </c>
      <c r="C35" s="447">
        <f>inputOth!B74</f>
        <v>0</v>
      </c>
      <c r="D35" s="447">
        <f>inputPrYr!D30</f>
        <v>0</v>
      </c>
      <c r="E35" s="140">
        <f>E33</f>
        <v>0</v>
      </c>
      <c r="G35" s="764"/>
      <c r="H35" s="765"/>
      <c r="I35" s="765"/>
      <c r="J35" s="767"/>
    </row>
    <row r="36" spans="2:10" x14ac:dyDescent="0.25">
      <c r="B36" s="80"/>
      <c r="C36" s="749" t="s">
        <v>319</v>
      </c>
      <c r="D36" s="750"/>
      <c r="E36" s="39"/>
      <c r="G36" s="768" t="str">
        <f>IF(J34="Yes", "Follow procedure prescribed by KSA 79-2988 to exceed the Revenue Neutral Rate.", " ")</f>
        <v>Follow procedure prescribed by KSA 79-2988 to exceed the Revenue Neutral Rate.</v>
      </c>
      <c r="H36" s="768"/>
      <c r="I36" s="768"/>
      <c r="J36" s="768"/>
    </row>
    <row r="37" spans="2:10" x14ac:dyDescent="0.25">
      <c r="B37" s="331" t="str">
        <f>CONCATENATE(C98,"     ",D98)</f>
        <v xml:space="preserve">     </v>
      </c>
      <c r="C37" s="751" t="s">
        <v>320</v>
      </c>
      <c r="D37" s="752"/>
      <c r="E37" s="140">
        <f>E33+E36</f>
        <v>0</v>
      </c>
      <c r="F37" s="184"/>
      <c r="G37" s="769"/>
      <c r="H37" s="769"/>
      <c r="I37" s="769"/>
      <c r="J37" s="769"/>
    </row>
    <row r="38" spans="2:10" x14ac:dyDescent="0.25">
      <c r="B38" s="331" t="str">
        <f>CONCATENATE(C99,"     ",D99)</f>
        <v xml:space="preserve">     </v>
      </c>
      <c r="C38" s="185"/>
      <c r="D38" s="107" t="s">
        <v>72</v>
      </c>
      <c r="E38" s="140">
        <f>IF(E37-E22&gt;0,E37-E22,0)</f>
        <v>0</v>
      </c>
      <c r="F38" s="452" t="str">
        <f>IF(E33/0.95-E33&lt;E36,"Exceeds 5%","")</f>
        <v/>
      </c>
      <c r="G38" s="769"/>
      <c r="H38" s="769"/>
      <c r="I38" s="769"/>
      <c r="J38" s="769"/>
    </row>
    <row r="39" spans="2:10" x14ac:dyDescent="0.25">
      <c r="B39" s="107"/>
      <c r="C39" s="257" t="s">
        <v>318</v>
      </c>
      <c r="D39" s="451">
        <f>inputOth!$E$50</f>
        <v>0</v>
      </c>
      <c r="E39" s="140">
        <f>ROUND(IF(D39&gt;0,(E38*D39),0),0)</f>
        <v>0</v>
      </c>
    </row>
    <row r="40" spans="2:10" ht="16" thickBot="1" x14ac:dyDescent="0.3">
      <c r="B40" s="28"/>
      <c r="C40" s="726" t="str">
        <f>CONCATENATE("Amount of  ",$E$1-1," Ad Valorem Tax")</f>
        <v>Amount of  2025 Ad Valorem Tax</v>
      </c>
      <c r="D40" s="753"/>
      <c r="E40" s="383">
        <f>E38+E39</f>
        <v>0</v>
      </c>
    </row>
    <row r="41" spans="2:10" ht="16" thickTop="1" x14ac:dyDescent="0.25">
      <c r="B41" s="28"/>
      <c r="C41" s="28"/>
      <c r="D41" s="28"/>
      <c r="E41" s="28"/>
    </row>
    <row r="42" spans="2:10" x14ac:dyDescent="0.25">
      <c r="B42" s="29"/>
      <c r="C42" s="85"/>
      <c r="D42" s="85"/>
      <c r="E42" s="85"/>
    </row>
    <row r="43" spans="2:10" x14ac:dyDescent="0.25">
      <c r="B43" s="29" t="s">
        <v>57</v>
      </c>
      <c r="C43" s="443" t="s">
        <v>475</v>
      </c>
      <c r="D43" s="444" t="s">
        <v>476</v>
      </c>
      <c r="E43" s="87" t="s">
        <v>477</v>
      </c>
    </row>
    <row r="44" spans="2:10" x14ac:dyDescent="0.25">
      <c r="B44" s="334">
        <f>inputPrYr!B31</f>
        <v>0</v>
      </c>
      <c r="C44" s="137" t="str">
        <f>CONCATENATE("Actual for ",E1-2,"")</f>
        <v>Actual for 2024</v>
      </c>
      <c r="D44" s="137" t="str">
        <f>CONCATENATE("Estimate for ",E1-1,"")</f>
        <v>Estimate for 2025</v>
      </c>
      <c r="E44" s="122" t="str">
        <f>CONCATENATE("Year for ",E1,"")</f>
        <v>Year for 2026</v>
      </c>
    </row>
    <row r="45" spans="2:10" x14ac:dyDescent="0.25">
      <c r="B45" s="162" t="s">
        <v>133</v>
      </c>
      <c r="C45" s="167"/>
      <c r="D45" s="165">
        <f>C74</f>
        <v>0</v>
      </c>
      <c r="E45" s="140">
        <f>D74</f>
        <v>0</v>
      </c>
    </row>
    <row r="46" spans="2:10" x14ac:dyDescent="0.25">
      <c r="B46" s="166" t="s">
        <v>135</v>
      </c>
      <c r="C46" s="102"/>
      <c r="D46" s="102"/>
      <c r="E46" s="52"/>
    </row>
    <row r="47" spans="2:10" x14ac:dyDescent="0.25">
      <c r="B47" s="93" t="s">
        <v>58</v>
      </c>
      <c r="C47" s="167"/>
      <c r="D47" s="165">
        <f>IF(inputPrYr!H21&gt;0,inputPrYr!G35,inputPrYr!E31)</f>
        <v>0</v>
      </c>
      <c r="E47" s="192" t="s">
        <v>49</v>
      </c>
    </row>
    <row r="48" spans="2:10" x14ac:dyDescent="0.25">
      <c r="B48" s="93" t="s">
        <v>59</v>
      </c>
      <c r="C48" s="167"/>
      <c r="D48" s="167"/>
      <c r="E48" s="39"/>
      <c r="G48" s="770" t="str">
        <f>CONCATENATE("Desired Carryover Into ",E1+1,"")</f>
        <v>Desired Carryover Into 2027</v>
      </c>
      <c r="H48" s="754"/>
      <c r="I48" s="754"/>
      <c r="J48" s="755"/>
    </row>
    <row r="49" spans="2:11" x14ac:dyDescent="0.25">
      <c r="B49" s="93" t="s">
        <v>60</v>
      </c>
      <c r="C49" s="167"/>
      <c r="D49" s="167"/>
      <c r="E49" s="140" t="str">
        <f>Mvalloc!D19</f>
        <v xml:space="preserve">  </v>
      </c>
      <c r="G49" s="384"/>
      <c r="H49" s="385"/>
      <c r="I49" s="386"/>
      <c r="J49" s="387"/>
    </row>
    <row r="50" spans="2:11" x14ac:dyDescent="0.25">
      <c r="B50" s="93" t="s">
        <v>61</v>
      </c>
      <c r="C50" s="167"/>
      <c r="D50" s="167"/>
      <c r="E50" s="140" t="str">
        <f>Mvalloc!E19</f>
        <v xml:space="preserve"> </v>
      </c>
      <c r="G50" s="388" t="s">
        <v>347</v>
      </c>
      <c r="H50" s="386"/>
      <c r="I50" s="386"/>
      <c r="J50" s="389">
        <v>0</v>
      </c>
    </row>
    <row r="51" spans="2:11" x14ac:dyDescent="0.25">
      <c r="B51" s="102" t="s">
        <v>126</v>
      </c>
      <c r="C51" s="167"/>
      <c r="D51" s="167"/>
      <c r="E51" s="140" t="str">
        <f>Mvalloc!F19</f>
        <v xml:space="preserve"> </v>
      </c>
      <c r="G51" s="384" t="s">
        <v>348</v>
      </c>
      <c r="H51" s="385"/>
      <c r="I51" s="385"/>
      <c r="J51" s="390" t="str">
        <f>IF(J50=0,"",ROUND((J50+E80-G63)/inputOth!E7*1000,3)-G68)</f>
        <v/>
      </c>
    </row>
    <row r="52" spans="2:11" x14ac:dyDescent="0.25">
      <c r="B52" s="509" t="s">
        <v>524</v>
      </c>
      <c r="C52" s="167"/>
      <c r="D52" s="167"/>
      <c r="E52" s="140" t="str">
        <f>Mvalloc!G19</f>
        <v xml:space="preserve"> </v>
      </c>
      <c r="G52" s="391" t="str">
        <f>CONCATENATE("",E1," Tot Exp/Non-Appr Must Be:")</f>
        <v>2026 Tot Exp/Non-Appr Must Be:</v>
      </c>
      <c r="H52" s="392"/>
      <c r="I52" s="393"/>
      <c r="J52" s="394">
        <f>IF(J50&gt;0,IF(E77&lt;E62,IF(J50=G63,E77,((J50-G63)*(1-D79))+E62),E77+(J50-G63)),0)</f>
        <v>0</v>
      </c>
    </row>
    <row r="53" spans="2:11" x14ac:dyDescent="0.25">
      <c r="B53" s="509" t="s">
        <v>525</v>
      </c>
      <c r="C53" s="167"/>
      <c r="D53" s="167"/>
      <c r="E53" s="140" t="str">
        <f>Mvalloc!H19</f>
        <v xml:space="preserve"> </v>
      </c>
      <c r="G53" s="395" t="s">
        <v>421</v>
      </c>
      <c r="H53" s="396"/>
      <c r="I53" s="396"/>
      <c r="J53" s="397">
        <f>IF(J50&gt;0,J52-E77,0)</f>
        <v>0</v>
      </c>
    </row>
    <row r="54" spans="2:11" x14ac:dyDescent="0.35">
      <c r="B54" s="182"/>
      <c r="C54" s="167"/>
      <c r="D54" s="167"/>
      <c r="E54" s="41"/>
      <c r="J54" s="2"/>
    </row>
    <row r="55" spans="2:11" x14ac:dyDescent="0.25">
      <c r="B55" s="182"/>
      <c r="C55" s="167"/>
      <c r="D55" s="167"/>
      <c r="E55" s="39"/>
      <c r="G55" s="770" t="str">
        <f>CONCATENATE("Projected Carryover Into ",E1+1,"")</f>
        <v>Projected Carryover Into 2027</v>
      </c>
      <c r="H55" s="775"/>
      <c r="I55" s="775"/>
      <c r="J55" s="772"/>
    </row>
    <row r="56" spans="2:11" x14ac:dyDescent="0.25">
      <c r="B56" s="182"/>
      <c r="C56" s="167"/>
      <c r="D56" s="167"/>
      <c r="E56" s="39"/>
      <c r="G56" s="398"/>
      <c r="H56" s="385"/>
      <c r="I56" s="385"/>
      <c r="J56" s="405"/>
    </row>
    <row r="57" spans="2:11" x14ac:dyDescent="0.25">
      <c r="B57" s="171" t="s">
        <v>63</v>
      </c>
      <c r="C57" s="167"/>
      <c r="D57" s="167"/>
      <c r="E57" s="39"/>
      <c r="G57" s="400">
        <f>D74</f>
        <v>0</v>
      </c>
      <c r="H57" s="378" t="str">
        <f>CONCATENATE("",E1-1," Ending Cash Balance (est.)")</f>
        <v>2025 Ending Cash Balance (est.)</v>
      </c>
      <c r="I57" s="401"/>
      <c r="J57" s="405"/>
    </row>
    <row r="58" spans="2:11" x14ac:dyDescent="0.25">
      <c r="B58" s="183" t="s">
        <v>8</v>
      </c>
      <c r="C58" s="167"/>
      <c r="D58" s="167"/>
      <c r="E58" s="140">
        <f>'NR Rebate20'!E18*-1</f>
        <v>0</v>
      </c>
      <c r="G58" s="400">
        <f>E61</f>
        <v>0</v>
      </c>
      <c r="H58" s="386" t="str">
        <f>CONCATENATE("",E1," Non-AV Receipts (est.)")</f>
        <v>2026 Non-AV Receipts (est.)</v>
      </c>
      <c r="I58" s="401"/>
      <c r="J58" s="405"/>
    </row>
    <row r="59" spans="2:11" x14ac:dyDescent="0.25">
      <c r="B59" s="102" t="s">
        <v>9</v>
      </c>
      <c r="C59" s="167"/>
      <c r="D59" s="167"/>
      <c r="E59" s="39"/>
      <c r="G59" s="402">
        <f>IF(D79&gt;0,E78,E80)</f>
        <v>0</v>
      </c>
      <c r="H59" s="386" t="str">
        <f>CONCATENATE("",E1," Ad Valorem Tax (est.)")</f>
        <v>2026 Ad Valorem Tax (est.)</v>
      </c>
      <c r="I59" s="401"/>
      <c r="J59" s="405"/>
    </row>
    <row r="60" spans="2:11" x14ac:dyDescent="0.25">
      <c r="B60" s="162" t="s">
        <v>350</v>
      </c>
      <c r="C60" s="172" t="str">
        <f>IF(C61*0.1&lt;C59,"Exceed 10% Rule","")</f>
        <v/>
      </c>
      <c r="D60" s="172" t="str">
        <f>IF(D61*0.1&lt;D59,"Exceed 10% Rule","")</f>
        <v/>
      </c>
      <c r="E60" s="204" t="str">
        <f>IF(E61*0.1+E80&lt;E59,"Exceed 10% Rule","")</f>
        <v/>
      </c>
      <c r="G60" s="404">
        <f>SUM(G57:G59)</f>
        <v>0</v>
      </c>
      <c r="H60" s="386" t="str">
        <f>CONCATENATE("Total ",E1," Resources Available")</f>
        <v>Total 2026 Resources Available</v>
      </c>
      <c r="I60" s="405"/>
      <c r="J60" s="405"/>
    </row>
    <row r="61" spans="2:11" x14ac:dyDescent="0.25">
      <c r="B61" s="174" t="s">
        <v>64</v>
      </c>
      <c r="C61" s="594">
        <f>SUM(C47:C59)</f>
        <v>0</v>
      </c>
      <c r="D61" s="594">
        <f>SUM(D47:D59)</f>
        <v>0</v>
      </c>
      <c r="E61" s="594">
        <f>SUM(E47:E59)</f>
        <v>0</v>
      </c>
      <c r="G61" s="406"/>
      <c r="H61" s="407"/>
      <c r="I61" s="385"/>
      <c r="J61" s="405"/>
    </row>
    <row r="62" spans="2:11" x14ac:dyDescent="0.3">
      <c r="B62" s="174" t="s">
        <v>65</v>
      </c>
      <c r="C62" s="594">
        <f>C45+C61</f>
        <v>0</v>
      </c>
      <c r="D62" s="594">
        <f>D45+D61</f>
        <v>0</v>
      </c>
      <c r="E62" s="594">
        <f>E45+E61</f>
        <v>0</v>
      </c>
      <c r="G62" s="408">
        <f>ROUND(C73*0.05+C73,0)</f>
        <v>0</v>
      </c>
      <c r="H62" s="407" t="str">
        <f>CONCATENATE("Less ",E1-2," Expenditures + 5%")</f>
        <v>Less 2024 Expenditures + 5%</v>
      </c>
      <c r="I62" s="405"/>
      <c r="J62" s="405"/>
      <c r="K62" s="379" t="str">
        <f>IF(G59=E80,"","Note: Does not include Delinquent Taxes")</f>
        <v/>
      </c>
    </row>
    <row r="63" spans="2:11" x14ac:dyDescent="0.35">
      <c r="B63" s="93" t="s">
        <v>67</v>
      </c>
      <c r="C63" s="183"/>
      <c r="D63" s="183"/>
      <c r="E63" s="38"/>
      <c r="G63" s="409">
        <f>G60-G62</f>
        <v>0</v>
      </c>
      <c r="H63" s="410" t="str">
        <f>CONCATENATE("Projected ",E1+1," carryover (est.)")</f>
        <v>Projected 2027 carryover (est.)</v>
      </c>
      <c r="I63" s="411"/>
      <c r="J63" s="412"/>
    </row>
    <row r="64" spans="2:11" x14ac:dyDescent="0.35">
      <c r="B64" s="182"/>
      <c r="C64" s="167"/>
      <c r="D64" s="167"/>
      <c r="E64" s="39"/>
      <c r="G64" s="2"/>
      <c r="H64" s="2"/>
      <c r="I64" s="2"/>
    </row>
    <row r="65" spans="2:10" x14ac:dyDescent="0.25">
      <c r="B65" s="182"/>
      <c r="C65" s="167"/>
      <c r="D65" s="167"/>
      <c r="E65" s="39"/>
      <c r="G65" s="756" t="s">
        <v>706</v>
      </c>
      <c r="H65" s="757"/>
      <c r="I65" s="757"/>
      <c r="J65" s="758"/>
    </row>
    <row r="66" spans="2:10" x14ac:dyDescent="0.25">
      <c r="B66" s="182"/>
      <c r="C66" s="167"/>
      <c r="D66" s="167"/>
      <c r="E66" s="39"/>
      <c r="G66" s="759"/>
      <c r="H66" s="760"/>
      <c r="I66" s="760"/>
      <c r="J66" s="761"/>
    </row>
    <row r="67" spans="2:10" x14ac:dyDescent="0.25">
      <c r="B67" s="182"/>
      <c r="C67" s="167"/>
      <c r="D67" s="167"/>
      <c r="E67" s="39"/>
      <c r="G67" s="580" t="str">
        <f>'Budget Hearing Notice'!H27</f>
        <v xml:space="preserve">  </v>
      </c>
      <c r="H67" s="378" t="str">
        <f>CONCATENATE("",E1," Estimated Fund Mill Rate")</f>
        <v>2026 Estimated Fund Mill Rate</v>
      </c>
      <c r="I67" s="581"/>
      <c r="J67" s="582"/>
    </row>
    <row r="68" spans="2:10" x14ac:dyDescent="0.25">
      <c r="B68" s="182"/>
      <c r="C68" s="167"/>
      <c r="D68" s="167"/>
      <c r="E68" s="39"/>
      <c r="G68" s="583" t="str">
        <f>'Budget Hearing Notice'!E27</f>
        <v xml:space="preserve">  </v>
      </c>
      <c r="H68" s="378" t="str">
        <f>CONCATENATE("",E1-1," Fund Mill Rate")</f>
        <v>2025 Fund Mill Rate</v>
      </c>
      <c r="I68" s="581"/>
      <c r="J68" s="582"/>
    </row>
    <row r="69" spans="2:10" x14ac:dyDescent="0.25">
      <c r="B69" s="182"/>
      <c r="C69" s="167"/>
      <c r="D69" s="167"/>
      <c r="E69" s="39"/>
      <c r="G69" s="584">
        <f>inputOth!D20</f>
        <v>33.582999999999998</v>
      </c>
      <c r="H69" s="585" t="s">
        <v>707</v>
      </c>
      <c r="I69" s="581"/>
      <c r="J69" s="582"/>
    </row>
    <row r="70" spans="2:10" x14ac:dyDescent="0.25">
      <c r="B70" s="183" t="str">
        <f>CONCATENATE("Cash Reserve (",E1," column)")</f>
        <v>Cash Reserve (2026 column)</v>
      </c>
      <c r="C70" s="167"/>
      <c r="D70" s="167"/>
      <c r="E70" s="39"/>
      <c r="G70" s="580">
        <f>'Budget Hearing Notice'!H52</f>
        <v>34.4</v>
      </c>
      <c r="H70" s="378" t="str">
        <f>CONCATENATE(E1," Estimated Total Mill Rate")</f>
        <v>2026 Estimated Total Mill Rate</v>
      </c>
      <c r="I70" s="581"/>
      <c r="J70" s="582"/>
    </row>
    <row r="71" spans="2:10" x14ac:dyDescent="0.25">
      <c r="B71" s="183" t="s">
        <v>9</v>
      </c>
      <c r="C71" s="167"/>
      <c r="D71" s="167"/>
      <c r="E71" s="39"/>
      <c r="G71" s="586">
        <f>'Budget Hearing Notice'!E52</f>
        <v>34.4</v>
      </c>
      <c r="H71" s="378" t="str">
        <f>CONCATENATE(E1-1," Total Mill Rate")</f>
        <v>2025 Total Mill Rate</v>
      </c>
      <c r="I71" s="581"/>
      <c r="J71" s="582"/>
    </row>
    <row r="72" spans="2:10" x14ac:dyDescent="0.25">
      <c r="B72" s="183" t="s">
        <v>351</v>
      </c>
      <c r="C72" s="172" t="str">
        <f>IF(C73*0.1&lt;C71,"Exceed 10% Rule","")</f>
        <v/>
      </c>
      <c r="D72" s="172" t="str">
        <f>IF(D73*0.1&lt;D71,"Exceed 10% Rule","")</f>
        <v/>
      </c>
      <c r="E72" s="204" t="str">
        <f>IF(E73*0.1&lt;E71,"Exceed 10% Rule","")</f>
        <v/>
      </c>
      <c r="G72" s="398"/>
      <c r="H72" s="385"/>
      <c r="I72" s="385"/>
      <c r="J72" s="405"/>
    </row>
    <row r="73" spans="2:10" x14ac:dyDescent="0.25">
      <c r="B73" s="174" t="s">
        <v>71</v>
      </c>
      <c r="C73" s="594">
        <f>SUM(C64:C71)</f>
        <v>0</v>
      </c>
      <c r="D73" s="594">
        <f>SUM(D64:D71)</f>
        <v>0</v>
      </c>
      <c r="E73" s="594">
        <f>SUM(E64:E71)</f>
        <v>0</v>
      </c>
      <c r="G73" s="762" t="s">
        <v>708</v>
      </c>
      <c r="H73" s="763"/>
      <c r="I73" s="763"/>
      <c r="J73" s="766" t="str">
        <f>IF(G70&gt;G69, "Yes", "No")</f>
        <v>Yes</v>
      </c>
    </row>
    <row r="74" spans="2:10" x14ac:dyDescent="0.25">
      <c r="B74" s="93" t="s">
        <v>134</v>
      </c>
      <c r="C74" s="140">
        <f>C62-C73</f>
        <v>0</v>
      </c>
      <c r="D74" s="140">
        <f>D62-D73</f>
        <v>0</v>
      </c>
      <c r="E74" s="192" t="s">
        <v>49</v>
      </c>
      <c r="G74" s="764"/>
      <c r="H74" s="765"/>
      <c r="I74" s="765"/>
      <c r="J74" s="767"/>
    </row>
    <row r="75" spans="2:10" x14ac:dyDescent="0.25">
      <c r="B75" s="108" t="str">
        <f>CONCATENATE("",E1-2,"/",E1-1,"/",E1," Budget Authority Amount:")</f>
        <v>2024/2025/2026 Budget Authority Amount:</v>
      </c>
      <c r="C75" s="447">
        <f>inputOth!B75</f>
        <v>0</v>
      </c>
      <c r="D75" s="447">
        <f>inputPrYr!D31</f>
        <v>0</v>
      </c>
      <c r="E75" s="140">
        <f>E73</f>
        <v>0</v>
      </c>
      <c r="G75" s="768" t="str">
        <f>IF(J73="Yes", "Follow procedure prescribed by KSA 79-2988 to exceed the Revenue Neutral Rate.", " ")</f>
        <v>Follow procedure prescribed by KSA 79-2988 to exceed the Revenue Neutral Rate.</v>
      </c>
      <c r="H75" s="768"/>
      <c r="I75" s="768"/>
      <c r="J75" s="768"/>
    </row>
    <row r="76" spans="2:10" x14ac:dyDescent="0.25">
      <c r="B76" s="80"/>
      <c r="C76" s="749" t="s">
        <v>319</v>
      </c>
      <c r="D76" s="750"/>
      <c r="E76" s="39"/>
      <c r="G76" s="769"/>
      <c r="H76" s="769"/>
      <c r="I76" s="769"/>
      <c r="J76" s="769"/>
    </row>
    <row r="77" spans="2:10" x14ac:dyDescent="0.25">
      <c r="B77" s="331" t="str">
        <f>CONCATENATE(C100,"     ",D100)</f>
        <v xml:space="preserve">     </v>
      </c>
      <c r="C77" s="751" t="s">
        <v>320</v>
      </c>
      <c r="D77" s="752"/>
      <c r="E77" s="140">
        <f>E73+E76</f>
        <v>0</v>
      </c>
      <c r="G77" s="769"/>
      <c r="H77" s="769"/>
      <c r="I77" s="769"/>
      <c r="J77" s="769"/>
    </row>
    <row r="78" spans="2:10" x14ac:dyDescent="0.25">
      <c r="B78" s="331" t="str">
        <f>CONCATENATE(C101,"     ",D101)</f>
        <v xml:space="preserve">     </v>
      </c>
      <c r="C78" s="185"/>
      <c r="D78" s="107" t="s">
        <v>72</v>
      </c>
      <c r="E78" s="140">
        <f>IF(E77-E62&gt;0,E77-E62,0)</f>
        <v>0</v>
      </c>
    </row>
    <row r="79" spans="2:10" x14ac:dyDescent="0.25">
      <c r="B79" s="80"/>
      <c r="C79" s="257" t="s">
        <v>318</v>
      </c>
      <c r="D79" s="451">
        <f>inputOth!$E$50</f>
        <v>0</v>
      </c>
      <c r="E79" s="140">
        <f>ROUND(IF(D79&gt;0,(E78*D79),0),0)</f>
        <v>0</v>
      </c>
      <c r="F79" s="184"/>
    </row>
    <row r="80" spans="2:10" ht="16" thickBot="1" x14ac:dyDescent="0.3">
      <c r="B80" s="107"/>
      <c r="C80" s="726" t="str">
        <f>CONCATENATE("Amount of  ",$E$1-1," Ad Valorem Tax")</f>
        <v>Amount of  2025 Ad Valorem Tax</v>
      </c>
      <c r="D80" s="753"/>
      <c r="E80" s="383">
        <f>E78+E79</f>
        <v>0</v>
      </c>
      <c r="F80" s="452" t="str">
        <f>IF(E73/0.95-E73&lt;E76,"Exceeds 5%","")</f>
        <v/>
      </c>
    </row>
    <row r="81" spans="2:5" ht="16" thickTop="1" x14ac:dyDescent="0.25">
      <c r="B81" s="28"/>
      <c r="C81" s="28"/>
      <c r="D81" s="28"/>
      <c r="E81" s="28"/>
    </row>
    <row r="82" spans="2:5" x14ac:dyDescent="0.25">
      <c r="B82" s="540" t="s">
        <v>535</v>
      </c>
      <c r="C82" s="69"/>
      <c r="D82" s="69"/>
      <c r="E82" s="512"/>
    </row>
    <row r="83" spans="2:5" x14ac:dyDescent="0.25">
      <c r="B83" s="398"/>
      <c r="C83" s="28"/>
      <c r="D83" s="28"/>
      <c r="E83" s="405"/>
    </row>
    <row r="84" spans="2:5" x14ac:dyDescent="0.25">
      <c r="B84" s="515"/>
      <c r="C84" s="43"/>
      <c r="D84" s="43"/>
      <c r="E84" s="49"/>
    </row>
    <row r="85" spans="2:5" x14ac:dyDescent="0.25">
      <c r="B85" s="28"/>
      <c r="C85" s="28"/>
      <c r="D85" s="28"/>
      <c r="E85" s="28"/>
    </row>
    <row r="86" spans="2:5" x14ac:dyDescent="0.25">
      <c r="B86" s="274" t="s">
        <v>74</v>
      </c>
      <c r="C86" s="465"/>
      <c r="D86" s="28"/>
      <c r="E86" s="28"/>
    </row>
    <row r="98" spans="3:4" hidden="1" x14ac:dyDescent="0.25">
      <c r="C98" s="330" t="str">
        <f>IF(C33&gt;C35,"See Tab A","")</f>
        <v/>
      </c>
      <c r="D98" s="330" t="str">
        <f>IF(D31&gt;D35,"See Tab C","")</f>
        <v/>
      </c>
    </row>
    <row r="99" spans="3:4" hidden="1" x14ac:dyDescent="0.25">
      <c r="C99" s="330" t="str">
        <f>IF(C34&lt;0,"See Tab B","")</f>
        <v/>
      </c>
      <c r="D99" s="330" t="str">
        <f>IF(D34&lt;0,"See Tab D","")</f>
        <v/>
      </c>
    </row>
    <row r="100" spans="3:4" hidden="1" x14ac:dyDescent="0.25">
      <c r="C100" s="330" t="str">
        <f>IF(C71&gt;C75,"See Tab A","")</f>
        <v/>
      </c>
      <c r="D100" s="330" t="str">
        <f>IF(D71&gt;D75,"See Tab C","")</f>
        <v/>
      </c>
    </row>
    <row r="101" spans="3:4" hidden="1" x14ac:dyDescent="0.25">
      <c r="C101" s="330" t="str">
        <f>IF(C74&lt;0,"See Tab B","")</f>
        <v/>
      </c>
      <c r="D101" s="330" t="str">
        <f>IF(D74&lt;0,"See Tab D","")</f>
        <v/>
      </c>
    </row>
  </sheetData>
  <sheetProtection sheet="1" objects="1" scenarios="1"/>
  <mergeCells count="18">
    <mergeCell ref="C36:D36"/>
    <mergeCell ref="C37:D37"/>
    <mergeCell ref="C80:D80"/>
    <mergeCell ref="C40:D40"/>
    <mergeCell ref="C76:D76"/>
    <mergeCell ref="C77:D77"/>
    <mergeCell ref="G73:I74"/>
    <mergeCell ref="J73:J74"/>
    <mergeCell ref="G75:J77"/>
    <mergeCell ref="G9:J9"/>
    <mergeCell ref="G16:J16"/>
    <mergeCell ref="G48:J48"/>
    <mergeCell ref="G55:J55"/>
    <mergeCell ref="G26:J27"/>
    <mergeCell ref="G34:I35"/>
    <mergeCell ref="J34:J35"/>
    <mergeCell ref="G36:J38"/>
    <mergeCell ref="G65:J66"/>
  </mergeCells>
  <phoneticPr fontId="0" type="noConversion"/>
  <conditionalFormatting sqref="C19">
    <cfRule type="cellIs" dxfId="225" priority="19" stopIfTrue="1" operator="greaterThan">
      <formula>$C$21*0.1</formula>
    </cfRule>
  </conditionalFormatting>
  <conditionalFormatting sqref="C31">
    <cfRule type="cellIs" dxfId="224" priority="9" stopIfTrue="1" operator="greaterThan">
      <formula>$C$33*0.1</formula>
    </cfRule>
  </conditionalFormatting>
  <conditionalFormatting sqref="C59">
    <cfRule type="cellIs" dxfId="223" priority="21" stopIfTrue="1" operator="greaterThan">
      <formula>$C$61*0.1</formula>
    </cfRule>
  </conditionalFormatting>
  <conditionalFormatting sqref="C71">
    <cfRule type="cellIs" dxfId="222" priority="14" stopIfTrue="1" operator="greaterThan">
      <formula>$C$73*0.1</formula>
    </cfRule>
  </conditionalFormatting>
  <conditionalFormatting sqref="D19">
    <cfRule type="cellIs" dxfId="221" priority="18" stopIfTrue="1" operator="greaterThan">
      <formula>$D$21*0.1</formula>
    </cfRule>
  </conditionalFormatting>
  <conditionalFormatting sqref="D31">
    <cfRule type="cellIs" dxfId="220" priority="10" stopIfTrue="1" operator="greaterThan">
      <formula>$D$33*0.1</formula>
    </cfRule>
  </conditionalFormatting>
  <conditionalFormatting sqref="D59">
    <cfRule type="cellIs" dxfId="219" priority="20" stopIfTrue="1" operator="greaterThan">
      <formula>$D$61*0.1</formula>
    </cfRule>
  </conditionalFormatting>
  <conditionalFormatting sqref="D71">
    <cfRule type="cellIs" dxfId="218" priority="15" stopIfTrue="1" operator="greaterThan">
      <formula>$D$73*0.1</formula>
    </cfRule>
  </conditionalFormatting>
  <conditionalFormatting sqref="E19">
    <cfRule type="cellIs" dxfId="217" priority="23" stopIfTrue="1" operator="greaterThan">
      <formula>$E$21*0.1+E40</formula>
    </cfRule>
  </conditionalFormatting>
  <conditionalFormatting sqref="E31">
    <cfRule type="cellIs" dxfId="216" priority="5" stopIfTrue="1" operator="greaterThan">
      <formula>$E$33*0.1</formula>
    </cfRule>
  </conditionalFormatting>
  <conditionalFormatting sqref="E36">
    <cfRule type="cellIs" dxfId="215" priority="6" stopIfTrue="1" operator="greaterThan">
      <formula>$E$33/0.95-$E$33</formula>
    </cfRule>
  </conditionalFormatting>
  <conditionalFormatting sqref="E59">
    <cfRule type="cellIs" dxfId="214" priority="22" stopIfTrue="1" operator="greaterThan">
      <formula>$E$61*0.1+E80</formula>
    </cfRule>
  </conditionalFormatting>
  <conditionalFormatting sqref="E71">
    <cfRule type="cellIs" dxfId="213" priority="7" stopIfTrue="1" operator="greaterThan">
      <formula>$E$73*0.1</formula>
    </cfRule>
  </conditionalFormatting>
  <conditionalFormatting sqref="E76">
    <cfRule type="cellIs" dxfId="212" priority="8" stopIfTrue="1" operator="greaterThan">
      <formula>$E$73/0.95-$E$73</formula>
    </cfRule>
  </conditionalFormatting>
  <conditionalFormatting sqref="J34">
    <cfRule type="containsText" dxfId="211" priority="2" operator="containsText" text="Yes">
      <formula>NOT(ISERROR(SEARCH("Yes",J34)))</formula>
    </cfRule>
  </conditionalFormatting>
  <conditionalFormatting sqref="J73">
    <cfRule type="containsText" dxfId="210" priority="1" operator="containsText" text="Yes">
      <formula>NOT(ISERROR(SEARCH("Yes",J73)))</formula>
    </cfRule>
  </conditionalFormatting>
  <pageMargins left="0.5" right="0.5" top="1" bottom="0.5" header="0.5" footer="0.5"/>
  <pageSetup scale="51" orientation="portrait" blackAndWhite="1" horizontalDpi="120" verticalDpi="144"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DD571"/>
    <pageSetUpPr fitToPage="1"/>
  </sheetPr>
  <dimension ref="B1:J69"/>
  <sheetViews>
    <sheetView topLeftCell="A37" workbookViewId="0">
      <selection activeCell="E27" sqref="E27"/>
    </sheetView>
  </sheetViews>
  <sheetFormatPr defaultColWidth="8.9140625" defaultRowHeight="15.5" x14ac:dyDescent="0.25"/>
  <cols>
    <col min="1" max="1" width="2.4140625" style="26" customWidth="1"/>
    <col min="2" max="2" width="31.08203125" style="26" customWidth="1"/>
    <col min="3" max="4" width="15.75" style="26" customWidth="1"/>
    <col min="5" max="5" width="16.25" style="26" customWidth="1"/>
    <col min="6" max="16384" width="8.9140625" style="26"/>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t="str">
        <f>(inputPrYr!B35)</f>
        <v>Special Highway</v>
      </c>
      <c r="C5" s="137" t="str">
        <f>CONCATENATE("Actual for ",E1-2,"")</f>
        <v>Actual for 2024</v>
      </c>
      <c r="D5" s="137" t="str">
        <f>CONCATENATE("Estimate for ",E1-1,"")</f>
        <v>Estimate for 2025</v>
      </c>
      <c r="E5" s="122" t="str">
        <f>CONCATENATE("Year for ",E1,"")</f>
        <v>Year for 2026</v>
      </c>
    </row>
    <row r="6" spans="2:5" x14ac:dyDescent="0.25">
      <c r="B6" s="162" t="s">
        <v>133</v>
      </c>
      <c r="C6" s="39">
        <v>466616</v>
      </c>
      <c r="D6" s="140">
        <f>C27</f>
        <v>306794</v>
      </c>
      <c r="E6" s="140">
        <f>D27</f>
        <v>422122</v>
      </c>
    </row>
    <row r="7" spans="2:5" x14ac:dyDescent="0.25">
      <c r="B7" s="166" t="s">
        <v>135</v>
      </c>
      <c r="C7" s="52"/>
      <c r="D7" s="52"/>
      <c r="E7" s="52"/>
    </row>
    <row r="8" spans="2:5" x14ac:dyDescent="0.25">
      <c r="B8" s="183" t="s">
        <v>129</v>
      </c>
      <c r="C8" s="39">
        <v>151306</v>
      </c>
      <c r="D8" s="197">
        <f>inputOth!E55</f>
        <v>145300</v>
      </c>
      <c r="E8" s="140">
        <f>inputOth!E53</f>
        <v>145820</v>
      </c>
    </row>
    <row r="9" spans="2:5" x14ac:dyDescent="0.25">
      <c r="B9" s="198" t="s">
        <v>168</v>
      </c>
      <c r="C9" s="39"/>
      <c r="D9" s="197">
        <f>inputOth!E56</f>
        <v>0</v>
      </c>
      <c r="E9" s="197">
        <f>inputOth!E54</f>
        <v>0</v>
      </c>
    </row>
    <row r="10" spans="2:5" x14ac:dyDescent="0.25">
      <c r="B10" s="182" t="s">
        <v>1102</v>
      </c>
      <c r="C10" s="39">
        <v>0</v>
      </c>
      <c r="D10" s="39">
        <v>800000</v>
      </c>
      <c r="E10" s="39">
        <v>0</v>
      </c>
    </row>
    <row r="11" spans="2:5" x14ac:dyDescent="0.25">
      <c r="B11" s="182"/>
      <c r="C11" s="39"/>
      <c r="D11" s="39"/>
      <c r="E11" s="39"/>
    </row>
    <row r="12" spans="2:5" x14ac:dyDescent="0.25">
      <c r="B12" s="171" t="s">
        <v>63</v>
      </c>
      <c r="C12" s="39">
        <v>10913</v>
      </c>
      <c r="D12" s="39">
        <v>12662</v>
      </c>
      <c r="E12" s="39">
        <v>11926</v>
      </c>
    </row>
    <row r="13" spans="2:5" x14ac:dyDescent="0.25">
      <c r="B13" s="102" t="s">
        <v>9</v>
      </c>
      <c r="C13" s="39"/>
      <c r="D13" s="168"/>
      <c r="E13" s="168"/>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162219</v>
      </c>
      <c r="D15" s="177">
        <f>SUM(D8:D13)</f>
        <v>957962</v>
      </c>
      <c r="E15" s="177">
        <f>SUM(E8:E13)</f>
        <v>157746</v>
      </c>
    </row>
    <row r="16" spans="2:5" x14ac:dyDescent="0.25">
      <c r="B16" s="174" t="s">
        <v>65</v>
      </c>
      <c r="C16" s="177">
        <f>C6+C15</f>
        <v>628835</v>
      </c>
      <c r="D16" s="177">
        <f>D6+D15</f>
        <v>1264756</v>
      </c>
      <c r="E16" s="177">
        <f>E6+E15</f>
        <v>579868</v>
      </c>
    </row>
    <row r="17" spans="2:10" x14ac:dyDescent="0.25">
      <c r="B17" s="93" t="s">
        <v>67</v>
      </c>
      <c r="C17" s="140"/>
      <c r="D17" s="140"/>
      <c r="E17" s="140"/>
    </row>
    <row r="18" spans="2:10" x14ac:dyDescent="0.25">
      <c r="B18" s="182" t="s">
        <v>1103</v>
      </c>
      <c r="C18" s="39">
        <v>60500</v>
      </c>
      <c r="D18" s="39">
        <v>0</v>
      </c>
      <c r="E18" s="39">
        <v>95000</v>
      </c>
    </row>
    <row r="19" spans="2:10" x14ac:dyDescent="0.25">
      <c r="B19" s="182" t="s">
        <v>1104</v>
      </c>
      <c r="C19" s="39">
        <v>261541</v>
      </c>
      <c r="D19" s="39">
        <v>842634</v>
      </c>
      <c r="E19" s="39">
        <v>0</v>
      </c>
    </row>
    <row r="20" spans="2:10" x14ac:dyDescent="0.25">
      <c r="B20" s="182"/>
      <c r="C20" s="39"/>
      <c r="D20" s="39"/>
      <c r="E20" s="39"/>
    </row>
    <row r="21" spans="2:10" x14ac:dyDescent="0.25">
      <c r="B21" s="182"/>
      <c r="C21" s="39"/>
      <c r="D21" s="39"/>
      <c r="E21" s="39"/>
    </row>
    <row r="22" spans="2:10" x14ac:dyDescent="0.25">
      <c r="B22" s="182"/>
      <c r="C22" s="39"/>
      <c r="D22" s="39"/>
      <c r="E22" s="39"/>
    </row>
    <row r="23" spans="2:10" x14ac:dyDescent="0.25">
      <c r="B23" s="183" t="str">
        <f>CONCATENATE("Cash Reserve (",E1," column)")</f>
        <v>Cash Reserve (2026 column)</v>
      </c>
      <c r="C23" s="39"/>
      <c r="D23" s="39"/>
      <c r="E23" s="39"/>
      <c r="J23" s="26">
        <v>0</v>
      </c>
    </row>
    <row r="24" spans="2:10" x14ac:dyDescent="0.25">
      <c r="B24" s="183" t="s">
        <v>9</v>
      </c>
      <c r="C24" s="39"/>
      <c r="D24" s="168"/>
      <c r="E24" s="168"/>
    </row>
    <row r="25" spans="2:10" x14ac:dyDescent="0.25">
      <c r="B25" s="183" t="s">
        <v>351</v>
      </c>
      <c r="C25" s="204" t="str">
        <f>IF(C26*0.1&lt;C24,"Exceed 10% Rule","")</f>
        <v/>
      </c>
      <c r="D25" s="173" t="str">
        <f>IF(D26*0.1&lt;D24,"Exceed 10% Rule","")</f>
        <v/>
      </c>
      <c r="E25" s="173" t="str">
        <f>IF(E26*0.1&lt;E24,"Exceed 10% Rule","")</f>
        <v/>
      </c>
    </row>
    <row r="26" spans="2:10" x14ac:dyDescent="0.25">
      <c r="B26" s="174" t="s">
        <v>71</v>
      </c>
      <c r="C26" s="177">
        <f>SUM(C18:C24)</f>
        <v>322041</v>
      </c>
      <c r="D26" s="177">
        <f>SUM(D18:D24)</f>
        <v>842634</v>
      </c>
      <c r="E26" s="177">
        <f>SUM(E18:E24)</f>
        <v>95000</v>
      </c>
    </row>
    <row r="27" spans="2:10" x14ac:dyDescent="0.25">
      <c r="B27" s="93" t="s">
        <v>134</v>
      </c>
      <c r="C27" s="50">
        <f>C16-C26</f>
        <v>306794</v>
      </c>
      <c r="D27" s="50">
        <f>D16-D26</f>
        <v>422122</v>
      </c>
      <c r="E27" s="50">
        <f>E16-E26</f>
        <v>484868</v>
      </c>
    </row>
    <row r="28" spans="2:10" x14ac:dyDescent="0.25">
      <c r="B28" s="108" t="str">
        <f>CONCATENATE("",E1-2,"/",E1-1,"/",E1," Budget Authority Amount:")</f>
        <v>2024/2025/2026 Budget Authority Amount:</v>
      </c>
      <c r="C28" s="447">
        <f>inputOth!B76</f>
        <v>1078900</v>
      </c>
      <c r="D28" s="447">
        <f>inputPrYr!D35</f>
        <v>1058900</v>
      </c>
      <c r="E28" s="459">
        <f>E26</f>
        <v>95000</v>
      </c>
    </row>
    <row r="29" spans="2:10" x14ac:dyDescent="0.25">
      <c r="B29" s="80"/>
      <c r="C29" s="185" t="str">
        <f>IF(C26&gt;C28,"See Tab A","")</f>
        <v/>
      </c>
      <c r="D29" s="185" t="str">
        <f>IF(D26&gt;D28,"See Tab C","")</f>
        <v/>
      </c>
      <c r="E29" s="460" t="str">
        <f>IF(E27&lt;0,"See Tab E","")</f>
        <v/>
      </c>
    </row>
    <row r="30" spans="2:10" x14ac:dyDescent="0.25">
      <c r="B30" s="80"/>
      <c r="C30" s="185" t="str">
        <f>IF(C27&lt;0,"See Tab B","")</f>
        <v/>
      </c>
      <c r="D30" s="185" t="str">
        <f>IF(D27&lt;0,"See Tab D","")</f>
        <v/>
      </c>
      <c r="E30" s="56"/>
    </row>
    <row r="31" spans="2:10" x14ac:dyDescent="0.25">
      <c r="B31" s="28"/>
      <c r="C31" s="56"/>
      <c r="D31" s="56"/>
      <c r="E31" s="56"/>
    </row>
    <row r="32" spans="2:10" x14ac:dyDescent="0.25">
      <c r="B32" s="29" t="s">
        <v>57</v>
      </c>
      <c r="C32" s="199"/>
      <c r="D32" s="199"/>
      <c r="E32" s="199"/>
    </row>
    <row r="33" spans="2:5" x14ac:dyDescent="0.25">
      <c r="B33" s="28"/>
      <c r="C33" s="443" t="s">
        <v>475</v>
      </c>
      <c r="D33" s="444" t="s">
        <v>476</v>
      </c>
      <c r="E33" s="87" t="s">
        <v>477</v>
      </c>
    </row>
    <row r="34" spans="2:5" x14ac:dyDescent="0.25">
      <c r="B34" s="334" t="str">
        <f>(inputPrYr!B36)</f>
        <v>Electric Utility</v>
      </c>
      <c r="C34" s="137" t="str">
        <f>CONCATENATE("Actual for ",$E$1-2,"")</f>
        <v>Actual for 2024</v>
      </c>
      <c r="D34" s="137" t="str">
        <f>CONCATENATE("Estimate for ",$E$1-1,"")</f>
        <v>Estimate for 2025</v>
      </c>
      <c r="E34" s="122" t="str">
        <f>CONCATENATE("Year for ",$E$1,"")</f>
        <v>Year for 2026</v>
      </c>
    </row>
    <row r="35" spans="2:5" x14ac:dyDescent="0.25">
      <c r="B35" s="162" t="s">
        <v>133</v>
      </c>
      <c r="C35" s="39">
        <v>1982462</v>
      </c>
      <c r="D35" s="140">
        <f>C62</f>
        <v>1636100</v>
      </c>
      <c r="E35" s="140">
        <f>D62</f>
        <v>1125248</v>
      </c>
    </row>
    <row r="36" spans="2:5" x14ac:dyDescent="0.25">
      <c r="B36" s="166" t="s">
        <v>135</v>
      </c>
      <c r="C36" s="52"/>
      <c r="D36" s="52"/>
      <c r="E36" s="52"/>
    </row>
    <row r="37" spans="2:5" x14ac:dyDescent="0.25">
      <c r="B37" s="182" t="s">
        <v>1105</v>
      </c>
      <c r="C37" s="39">
        <v>6127985</v>
      </c>
      <c r="D37" s="39">
        <v>6213000</v>
      </c>
      <c r="E37" s="39">
        <v>6502000</v>
      </c>
    </row>
    <row r="38" spans="2:5" x14ac:dyDescent="0.25">
      <c r="B38" s="182" t="s">
        <v>1106</v>
      </c>
      <c r="C38" s="39">
        <v>6702</v>
      </c>
      <c r="D38" s="39">
        <v>6500</v>
      </c>
      <c r="E38" s="39">
        <v>6500</v>
      </c>
    </row>
    <row r="39" spans="2:5" x14ac:dyDescent="0.25">
      <c r="B39" s="182" t="s">
        <v>1107</v>
      </c>
      <c r="C39" s="39">
        <v>69376</v>
      </c>
      <c r="D39" s="39">
        <v>49500</v>
      </c>
      <c r="E39" s="39">
        <v>49500</v>
      </c>
    </row>
    <row r="40" spans="2:5" x14ac:dyDescent="0.25">
      <c r="B40" s="182" t="s">
        <v>1108</v>
      </c>
      <c r="C40" s="39">
        <v>6402</v>
      </c>
      <c r="D40" s="39">
        <v>100000</v>
      </c>
      <c r="E40" s="39">
        <v>100000</v>
      </c>
    </row>
    <row r="41" spans="2:5" x14ac:dyDescent="0.25">
      <c r="B41" s="182" t="s">
        <v>1109</v>
      </c>
      <c r="C41" s="39">
        <v>81955</v>
      </c>
      <c r="D41" s="39">
        <v>100000</v>
      </c>
      <c r="E41" s="39">
        <v>100000</v>
      </c>
    </row>
    <row r="42" spans="2:5" x14ac:dyDescent="0.25">
      <c r="B42" s="171" t="s">
        <v>63</v>
      </c>
      <c r="C42" s="39">
        <v>210966</v>
      </c>
      <c r="D42" s="39">
        <v>65171</v>
      </c>
      <c r="E42" s="39">
        <v>61067</v>
      </c>
    </row>
    <row r="43" spans="2:5" x14ac:dyDescent="0.25">
      <c r="B43" s="102" t="s">
        <v>9</v>
      </c>
      <c r="C43" s="39"/>
      <c r="D43" s="168"/>
      <c r="E43" s="168"/>
    </row>
    <row r="44" spans="2:5" x14ac:dyDescent="0.25">
      <c r="B44" s="162" t="s">
        <v>350</v>
      </c>
      <c r="C44" s="204" t="str">
        <f>IF(C45*0.1&lt;C43,"Exceed 10% Rule","")</f>
        <v/>
      </c>
      <c r="D44" s="173" t="str">
        <f>IF(D45*0.1&lt;D43,"Exceed 10% Rule","")</f>
        <v/>
      </c>
      <c r="E44" s="173" t="str">
        <f>IF(E45*0.1&lt;E43,"Exceed 10% Rule","")</f>
        <v/>
      </c>
    </row>
    <row r="45" spans="2:5" x14ac:dyDescent="0.25">
      <c r="B45" s="174" t="s">
        <v>64</v>
      </c>
      <c r="C45" s="177">
        <f>SUM(C37:C43)</f>
        <v>6503386</v>
      </c>
      <c r="D45" s="177">
        <f>SUM(D37:D43)</f>
        <v>6534171</v>
      </c>
      <c r="E45" s="177">
        <f>SUM(E37:E43)</f>
        <v>6819067</v>
      </c>
    </row>
    <row r="46" spans="2:5" x14ac:dyDescent="0.25">
      <c r="B46" s="174" t="s">
        <v>65</v>
      </c>
      <c r="C46" s="177">
        <f>C35+C45</f>
        <v>8485848</v>
      </c>
      <c r="D46" s="177">
        <f>D35+D45</f>
        <v>8170271</v>
      </c>
      <c r="E46" s="177">
        <f>E35+E45</f>
        <v>7944315</v>
      </c>
    </row>
    <row r="47" spans="2:5" x14ac:dyDescent="0.25">
      <c r="B47" s="93" t="s">
        <v>67</v>
      </c>
      <c r="C47" s="140"/>
      <c r="D47" s="140"/>
      <c r="E47" s="140"/>
    </row>
    <row r="48" spans="2:5" x14ac:dyDescent="0.25">
      <c r="B48" s="182" t="s">
        <v>1064</v>
      </c>
      <c r="C48" s="39">
        <v>825553</v>
      </c>
      <c r="D48" s="39">
        <v>917647</v>
      </c>
      <c r="E48" s="39">
        <v>1025836</v>
      </c>
    </row>
    <row r="49" spans="2:6" x14ac:dyDescent="0.25">
      <c r="B49" s="182" t="s">
        <v>1066</v>
      </c>
      <c r="C49" s="39">
        <v>3369971</v>
      </c>
      <c r="D49" s="39">
        <v>3461639</v>
      </c>
      <c r="E49" s="39">
        <v>4242978</v>
      </c>
    </row>
    <row r="50" spans="2:6" x14ac:dyDescent="0.25">
      <c r="B50" s="182" t="s">
        <v>1103</v>
      </c>
      <c r="C50" s="39">
        <v>526413</v>
      </c>
      <c r="D50" s="39">
        <v>731791</v>
      </c>
      <c r="E50" s="39">
        <v>646093</v>
      </c>
    </row>
    <row r="51" spans="2:6" x14ac:dyDescent="0.25">
      <c r="B51" s="182" t="s">
        <v>1067</v>
      </c>
      <c r="C51" s="39">
        <v>384762</v>
      </c>
      <c r="D51" s="39">
        <v>372923</v>
      </c>
      <c r="E51" s="39">
        <v>369325</v>
      </c>
    </row>
    <row r="52" spans="2:6" x14ac:dyDescent="0.25">
      <c r="B52" s="182" t="s">
        <v>1068</v>
      </c>
      <c r="C52" s="39">
        <v>370906</v>
      </c>
      <c r="D52" s="39">
        <v>346746</v>
      </c>
      <c r="E52" s="39">
        <v>324264</v>
      </c>
      <c r="F52" s="26" t="s">
        <v>1042</v>
      </c>
    </row>
    <row r="53" spans="2:6" x14ac:dyDescent="0.25">
      <c r="B53" s="182" t="s">
        <v>1025</v>
      </c>
      <c r="C53" s="39">
        <v>800459</v>
      </c>
      <c r="D53" s="39">
        <v>640375</v>
      </c>
      <c r="E53" s="39">
        <v>496793</v>
      </c>
      <c r="F53" s="26" t="s">
        <v>1042</v>
      </c>
    </row>
    <row r="54" spans="2:6" x14ac:dyDescent="0.25">
      <c r="B54" s="182" t="s">
        <v>1026</v>
      </c>
      <c r="C54" s="39">
        <v>78915</v>
      </c>
      <c r="D54" s="39">
        <v>94210</v>
      </c>
      <c r="E54" s="39">
        <v>105210</v>
      </c>
      <c r="F54" s="26" t="s">
        <v>1042</v>
      </c>
    </row>
    <row r="55" spans="2:6" x14ac:dyDescent="0.25">
      <c r="B55" s="182" t="s">
        <v>1110</v>
      </c>
      <c r="C55" s="39">
        <v>437730</v>
      </c>
      <c r="D55" s="39">
        <v>424653</v>
      </c>
      <c r="E55" s="39">
        <v>419142</v>
      </c>
      <c r="F55" s="26" t="s">
        <v>1042</v>
      </c>
    </row>
    <row r="56" spans="2:6" x14ac:dyDescent="0.25">
      <c r="B56" s="182" t="s">
        <v>1111</v>
      </c>
      <c r="C56" s="39">
        <v>0</v>
      </c>
      <c r="D56" s="39">
        <v>0</v>
      </c>
      <c r="E56" s="39">
        <v>0</v>
      </c>
      <c r="F56" s="26" t="s">
        <v>1042</v>
      </c>
    </row>
    <row r="57" spans="2:6" x14ac:dyDescent="0.25">
      <c r="B57" s="182" t="s">
        <v>1112</v>
      </c>
      <c r="C57" s="39">
        <v>55039</v>
      </c>
      <c r="D57" s="39">
        <v>55039</v>
      </c>
      <c r="E57" s="39">
        <v>166851</v>
      </c>
    </row>
    <row r="58" spans="2:6" x14ac:dyDescent="0.25">
      <c r="B58" s="183" t="str">
        <f>CONCATENATE("Cash Reserve (",E1," column)")</f>
        <v>Cash Reserve (2026 column)</v>
      </c>
      <c r="C58" s="39"/>
      <c r="D58" s="39"/>
      <c r="E58" s="39"/>
    </row>
    <row r="59" spans="2:6" x14ac:dyDescent="0.25">
      <c r="B59" s="183" t="s">
        <v>9</v>
      </c>
      <c r="C59" s="39"/>
      <c r="D59" s="168"/>
      <c r="E59" s="168"/>
    </row>
    <row r="60" spans="2:6" x14ac:dyDescent="0.25">
      <c r="B60" s="183" t="s">
        <v>351</v>
      </c>
      <c r="C60" s="204" t="str">
        <f>IF(C61*0.1&lt;C59,"Exceed 10% Rule","")</f>
        <v/>
      </c>
      <c r="D60" s="173" t="str">
        <f>IF(D61*0.1&lt;D59,"Exceed 10% Rule","")</f>
        <v/>
      </c>
      <c r="E60" s="173" t="str">
        <f>IF(E61*0.1&lt;E59,"Exceed 10% Rule","")</f>
        <v/>
      </c>
    </row>
    <row r="61" spans="2:6" x14ac:dyDescent="0.25">
      <c r="B61" s="174" t="s">
        <v>71</v>
      </c>
      <c r="C61" s="177">
        <f>SUM(C48:C59)</f>
        <v>6849748</v>
      </c>
      <c r="D61" s="177">
        <f>SUM(D48:D59)</f>
        <v>7045023</v>
      </c>
      <c r="E61" s="177">
        <f>SUM(E48:E59)</f>
        <v>7796492</v>
      </c>
    </row>
    <row r="62" spans="2:6" x14ac:dyDescent="0.25">
      <c r="B62" s="93" t="s">
        <v>134</v>
      </c>
      <c r="C62" s="50">
        <f>C46-C61</f>
        <v>1636100</v>
      </c>
      <c r="D62" s="50">
        <f>D46-D61</f>
        <v>1125248</v>
      </c>
      <c r="E62" s="50">
        <f>E46-E61</f>
        <v>147823</v>
      </c>
    </row>
    <row r="63" spans="2:6" x14ac:dyDescent="0.25">
      <c r="B63" s="108" t="str">
        <f>CONCATENATE("",E1-2,"/",E1-1,"/",E1," Budget Authority Amount:")</f>
        <v>2024/2025/2026 Budget Authority Amount:</v>
      </c>
      <c r="C63" s="447">
        <f>inputOth!B77</f>
        <v>8159366</v>
      </c>
      <c r="D63" s="447">
        <f>inputPrYr!D36</f>
        <v>8286780</v>
      </c>
      <c r="E63" s="459">
        <f>E61</f>
        <v>7796492</v>
      </c>
    </row>
    <row r="64" spans="2:6" x14ac:dyDescent="0.25">
      <c r="B64" s="80"/>
      <c r="C64" s="185" t="str">
        <f>IF(C61&gt;C63,"See Tab A","")</f>
        <v/>
      </c>
      <c r="D64" s="185" t="str">
        <f>IF(D61&gt;D63,"See Tab C","")</f>
        <v/>
      </c>
      <c r="E64" s="460" t="str">
        <f>IF(E62&lt;0,"See Tab E","")</f>
        <v/>
      </c>
    </row>
    <row r="65" spans="2:5" x14ac:dyDescent="0.25">
      <c r="B65" s="542" t="s">
        <v>535</v>
      </c>
      <c r="C65" s="529" t="str">
        <f>IF(C62&lt;0,"See Tab B","")</f>
        <v/>
      </c>
      <c r="D65" s="529" t="str">
        <f>IF(D62&lt;0,"See Tab D","")</f>
        <v/>
      </c>
      <c r="E65" s="512"/>
    </row>
    <row r="66" spans="2:5" x14ac:dyDescent="0.25">
      <c r="B66" s="530"/>
      <c r="C66" s="185"/>
      <c r="D66" s="185"/>
      <c r="E66" s="405"/>
    </row>
    <row r="67" spans="2:5" x14ac:dyDescent="0.25">
      <c r="B67" s="531"/>
      <c r="C67" s="532"/>
      <c r="D67" s="532"/>
      <c r="E67" s="49"/>
    </row>
    <row r="68" spans="2:5" x14ac:dyDescent="0.25">
      <c r="B68" s="28"/>
      <c r="C68" s="28"/>
      <c r="D68" s="28"/>
      <c r="E68" s="28"/>
    </row>
    <row r="69" spans="2:5" x14ac:dyDescent="0.25">
      <c r="B69" s="274" t="s">
        <v>74</v>
      </c>
      <c r="C69" s="465">
        <v>12</v>
      </c>
      <c r="D69" s="28"/>
      <c r="E69" s="28"/>
    </row>
  </sheetData>
  <phoneticPr fontId="0" type="noConversion"/>
  <conditionalFormatting sqref="C13">
    <cfRule type="cellIs" dxfId="209" priority="5" stopIfTrue="1" operator="greaterThan">
      <formula>$C$15*0.1</formula>
    </cfRule>
  </conditionalFormatting>
  <conditionalFormatting sqref="C24">
    <cfRule type="cellIs" dxfId="208" priority="8" stopIfTrue="1" operator="greaterThan">
      <formula>$C$26*0.1</formula>
    </cfRule>
  </conditionalFormatting>
  <conditionalFormatting sqref="C26">
    <cfRule type="cellIs" dxfId="207" priority="21" stopIfTrue="1" operator="greaterThan">
      <formula>$C$28</formula>
    </cfRule>
  </conditionalFormatting>
  <conditionalFormatting sqref="C27 C62">
    <cfRule type="cellIs" dxfId="206" priority="19" stopIfTrue="1" operator="lessThan">
      <formula>0</formula>
    </cfRule>
  </conditionalFormatting>
  <conditionalFormatting sqref="C43">
    <cfRule type="cellIs" dxfId="205" priority="11" stopIfTrue="1" operator="greaterThan">
      <formula>$C$45*0.1</formula>
    </cfRule>
  </conditionalFormatting>
  <conditionalFormatting sqref="C59">
    <cfRule type="cellIs" dxfId="204" priority="14" stopIfTrue="1" operator="greaterThan">
      <formula>$C$61*0.1</formula>
    </cfRule>
  </conditionalFormatting>
  <conditionalFormatting sqref="C61">
    <cfRule type="cellIs" dxfId="203" priority="18" stopIfTrue="1" operator="greaterThan">
      <formula>$C$63</formula>
    </cfRule>
  </conditionalFormatting>
  <conditionalFormatting sqref="D13">
    <cfRule type="cellIs" dxfId="202" priority="6" stopIfTrue="1" operator="greaterThan">
      <formula>$D$15*0.1</formula>
    </cfRule>
  </conditionalFormatting>
  <conditionalFormatting sqref="D24">
    <cfRule type="cellIs" dxfId="201" priority="9" stopIfTrue="1" operator="greaterThan">
      <formula>$D$26*0.1</formula>
    </cfRule>
  </conditionalFormatting>
  <conditionalFormatting sqref="D26">
    <cfRule type="cellIs" dxfId="200" priority="20" stopIfTrue="1" operator="greaterThan">
      <formula>$D$28</formula>
    </cfRule>
  </conditionalFormatting>
  <conditionalFormatting sqref="D27">
    <cfRule type="cellIs" dxfId="199" priority="4" stopIfTrue="1" operator="lessThan">
      <formula>0</formula>
    </cfRule>
  </conditionalFormatting>
  <conditionalFormatting sqref="D43">
    <cfRule type="cellIs" dxfId="198" priority="12" stopIfTrue="1" operator="greaterThan">
      <formula>$D$45*0.1</formula>
    </cfRule>
  </conditionalFormatting>
  <conditionalFormatting sqref="D59">
    <cfRule type="cellIs" dxfId="197" priority="15" stopIfTrue="1" operator="greaterThan">
      <formula>$D$61*0.1</formula>
    </cfRule>
  </conditionalFormatting>
  <conditionalFormatting sqref="D61">
    <cfRule type="cellIs" dxfId="196" priority="17" stopIfTrue="1" operator="greaterThan">
      <formula>$D$63</formula>
    </cfRule>
  </conditionalFormatting>
  <conditionalFormatting sqref="D62">
    <cfRule type="cellIs" dxfId="195" priority="3" stopIfTrue="1" operator="lessThan">
      <formula>0</formula>
    </cfRule>
  </conditionalFormatting>
  <conditionalFormatting sqref="E13">
    <cfRule type="cellIs" dxfId="194" priority="7" stopIfTrue="1" operator="greaterThan">
      <formula>$E$15*0.1</formula>
    </cfRule>
  </conditionalFormatting>
  <conditionalFormatting sqref="E24">
    <cfRule type="cellIs" dxfId="193" priority="10" stopIfTrue="1" operator="greaterThan">
      <formula>$E$26*0.1</formula>
    </cfRule>
  </conditionalFormatting>
  <conditionalFormatting sqref="E27:E28">
    <cfRule type="cellIs" dxfId="192" priority="2" stopIfTrue="1" operator="lessThan">
      <formula>0</formula>
    </cfRule>
  </conditionalFormatting>
  <conditionalFormatting sqref="E43">
    <cfRule type="cellIs" dxfId="191" priority="13" stopIfTrue="1" operator="greaterThan">
      <formula>$E$45*0.1</formula>
    </cfRule>
  </conditionalFormatting>
  <conditionalFormatting sqref="E59">
    <cfRule type="cellIs" dxfId="190" priority="16" stopIfTrue="1" operator="greaterThan">
      <formula>$E$61*0.1</formula>
    </cfRule>
  </conditionalFormatting>
  <conditionalFormatting sqref="E62:E63">
    <cfRule type="cellIs" dxfId="189" priority="1" stopIfTrue="1" operator="lessThan">
      <formula>0</formula>
    </cfRule>
  </conditionalFormatting>
  <pageMargins left="0.5" right="0.5" top="1" bottom="0.5" header="0.5" footer="0.5"/>
  <pageSetup scale="63" orientation="portrait" blackAndWhite="1"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DD571"/>
    <pageSetUpPr fitToPage="1"/>
  </sheetPr>
  <dimension ref="B1:F74"/>
  <sheetViews>
    <sheetView workbookViewId="0">
      <selection activeCell="E57" sqref="E57"/>
    </sheetView>
  </sheetViews>
  <sheetFormatPr defaultColWidth="8.9140625" defaultRowHeight="15.5" x14ac:dyDescent="0.25"/>
  <cols>
    <col min="1" max="1" width="2.4140625" style="26" customWidth="1"/>
    <col min="2" max="2" width="31.08203125" style="26" customWidth="1"/>
    <col min="3" max="4" width="15.75" style="26" customWidth="1"/>
    <col min="5" max="5" width="16.33203125" style="26" customWidth="1"/>
    <col min="6" max="16384" width="8.9140625" style="26"/>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t="str">
        <f>(inputPrYr!B37)</f>
        <v>Water Utility</v>
      </c>
      <c r="C5" s="137" t="str">
        <f>CONCATENATE("Actual for ",E1-2,"")</f>
        <v>Actual for 2024</v>
      </c>
      <c r="D5" s="137" t="str">
        <f>CONCATENATE("Estimate for ",E1-1,"")</f>
        <v>Estimate for 2025</v>
      </c>
      <c r="E5" s="122" t="str">
        <f>CONCATENATE("Year for ",E1,"")</f>
        <v>Year for 2026</v>
      </c>
    </row>
    <row r="6" spans="2:5" x14ac:dyDescent="0.25">
      <c r="B6" s="162" t="s">
        <v>133</v>
      </c>
      <c r="C6" s="39">
        <v>1864650</v>
      </c>
      <c r="D6" s="140">
        <f>C32</f>
        <v>1587145</v>
      </c>
      <c r="E6" s="140">
        <f>D32</f>
        <v>1277648</v>
      </c>
    </row>
    <row r="7" spans="2:5" x14ac:dyDescent="0.25">
      <c r="B7" s="166" t="s">
        <v>135</v>
      </c>
      <c r="C7" s="52"/>
      <c r="D7" s="52"/>
      <c r="E7" s="52"/>
    </row>
    <row r="8" spans="2:5" x14ac:dyDescent="0.25">
      <c r="B8" s="182" t="s">
        <v>1114</v>
      </c>
      <c r="C8" s="39">
        <v>1232883</v>
      </c>
      <c r="D8" s="39">
        <v>1250000</v>
      </c>
      <c r="E8" s="39">
        <v>1250000</v>
      </c>
    </row>
    <row r="9" spans="2:5" x14ac:dyDescent="0.25">
      <c r="B9" s="182" t="s">
        <v>1107</v>
      </c>
      <c r="C9" s="39">
        <v>8474</v>
      </c>
      <c r="D9" s="39">
        <v>6000</v>
      </c>
      <c r="E9" s="39">
        <v>6000</v>
      </c>
    </row>
    <row r="10" spans="2:5" x14ac:dyDescent="0.25">
      <c r="B10" s="182" t="s">
        <v>1108</v>
      </c>
      <c r="C10" s="39">
        <v>10716</v>
      </c>
      <c r="D10" s="39">
        <v>50000</v>
      </c>
      <c r="E10" s="39">
        <v>35000</v>
      </c>
    </row>
    <row r="11" spans="2:5" x14ac:dyDescent="0.25">
      <c r="B11" s="182"/>
      <c r="C11" s="39"/>
      <c r="D11" s="39"/>
      <c r="E11" s="39"/>
    </row>
    <row r="12" spans="2:5" x14ac:dyDescent="0.25">
      <c r="B12" s="171" t="s">
        <v>63</v>
      </c>
      <c r="C12" s="39">
        <v>128735</v>
      </c>
      <c r="D12" s="39">
        <v>61686</v>
      </c>
      <c r="E12" s="39">
        <v>56514</v>
      </c>
    </row>
    <row r="13" spans="2:5" x14ac:dyDescent="0.25">
      <c r="B13" s="102" t="s">
        <v>9</v>
      </c>
      <c r="C13" s="39">
        <v>44</v>
      </c>
      <c r="D13" s="168">
        <v>1806</v>
      </c>
      <c r="E13" s="168">
        <v>0</v>
      </c>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1380852</v>
      </c>
      <c r="D15" s="177">
        <f>SUM(D8:D13)</f>
        <v>1369492</v>
      </c>
      <c r="E15" s="177">
        <f>SUM(E8:E13)</f>
        <v>1347514</v>
      </c>
    </row>
    <row r="16" spans="2:5" x14ac:dyDescent="0.25">
      <c r="B16" s="174" t="s">
        <v>65</v>
      </c>
      <c r="C16" s="177">
        <f>C6+C15</f>
        <v>3245502</v>
      </c>
      <c r="D16" s="177">
        <f>D6+D15</f>
        <v>2956637</v>
      </c>
      <c r="E16" s="177">
        <f>E6+E15</f>
        <v>2625162</v>
      </c>
    </row>
    <row r="17" spans="2:6" x14ac:dyDescent="0.25">
      <c r="B17" s="93" t="s">
        <v>67</v>
      </c>
      <c r="C17" s="140"/>
      <c r="D17" s="140"/>
      <c r="E17" s="140"/>
    </row>
    <row r="18" spans="2:6" x14ac:dyDescent="0.25">
      <c r="B18" s="182" t="s">
        <v>1064</v>
      </c>
      <c r="C18" s="39">
        <v>348527</v>
      </c>
      <c r="D18" s="39">
        <v>381142</v>
      </c>
      <c r="E18" s="39">
        <v>397265</v>
      </c>
    </row>
    <row r="19" spans="2:6" x14ac:dyDescent="0.25">
      <c r="B19" s="182" t="s">
        <v>1066</v>
      </c>
      <c r="C19" s="39">
        <v>43319</v>
      </c>
      <c r="D19" s="39">
        <v>46005</v>
      </c>
      <c r="E19" s="39">
        <v>53540</v>
      </c>
    </row>
    <row r="20" spans="2:6" x14ac:dyDescent="0.25">
      <c r="B20" s="182" t="s">
        <v>1103</v>
      </c>
      <c r="C20" s="39">
        <v>234415</v>
      </c>
      <c r="D20" s="39">
        <v>300988</v>
      </c>
      <c r="E20" s="39">
        <v>303038</v>
      </c>
    </row>
    <row r="21" spans="2:6" x14ac:dyDescent="0.25">
      <c r="B21" s="182" t="s">
        <v>1067</v>
      </c>
      <c r="C21" s="39">
        <v>68964</v>
      </c>
      <c r="D21" s="39">
        <v>94725</v>
      </c>
      <c r="E21" s="39">
        <v>124875</v>
      </c>
    </row>
    <row r="22" spans="2:6" x14ac:dyDescent="0.25">
      <c r="B22" s="182" t="s">
        <v>1068</v>
      </c>
      <c r="C22" s="39">
        <v>157025</v>
      </c>
      <c r="D22" s="39">
        <v>161502</v>
      </c>
      <c r="E22" s="39">
        <v>167254</v>
      </c>
      <c r="F22" s="26" t="s">
        <v>1042</v>
      </c>
    </row>
    <row r="23" spans="2:6" x14ac:dyDescent="0.25">
      <c r="B23" s="182" t="s">
        <v>1025</v>
      </c>
      <c r="C23" s="39">
        <v>588375</v>
      </c>
      <c r="D23" s="39">
        <v>498375</v>
      </c>
      <c r="E23" s="39">
        <v>495564</v>
      </c>
      <c r="F23" s="26" t="s">
        <v>1042</v>
      </c>
    </row>
    <row r="24" spans="2:6" x14ac:dyDescent="0.25">
      <c r="B24" s="182" t="s">
        <v>1026</v>
      </c>
      <c r="C24" s="39">
        <v>53926</v>
      </c>
      <c r="D24" s="39">
        <v>32025</v>
      </c>
      <c r="E24" s="39">
        <v>57025</v>
      </c>
      <c r="F24" s="26" t="s">
        <v>1042</v>
      </c>
    </row>
    <row r="25" spans="2:6" x14ac:dyDescent="0.25">
      <c r="B25" s="182" t="s">
        <v>1110</v>
      </c>
      <c r="C25" s="39">
        <v>74005</v>
      </c>
      <c r="D25" s="39">
        <v>74426</v>
      </c>
      <c r="E25" s="39">
        <v>83918.24</v>
      </c>
      <c r="F25" s="26" t="s">
        <v>1042</v>
      </c>
    </row>
    <row r="26" spans="2:6" x14ac:dyDescent="0.25">
      <c r="B26" s="182" t="s">
        <v>1111</v>
      </c>
      <c r="C26" s="39">
        <v>0</v>
      </c>
      <c r="D26" s="39">
        <v>0</v>
      </c>
      <c r="E26" s="39">
        <v>200000</v>
      </c>
      <c r="F26" s="26" t="s">
        <v>1042</v>
      </c>
    </row>
    <row r="27" spans="2:6" x14ac:dyDescent="0.25">
      <c r="B27" s="182" t="s">
        <v>1112</v>
      </c>
      <c r="C27" s="39">
        <v>89801</v>
      </c>
      <c r="D27" s="39">
        <v>89801</v>
      </c>
      <c r="E27" s="39">
        <v>89801</v>
      </c>
    </row>
    <row r="28" spans="2:6" x14ac:dyDescent="0.25">
      <c r="B28" s="183" t="str">
        <f>CONCATENATE("Cash Reserve (",E1," column)")</f>
        <v>Cash Reserve (2026 column)</v>
      </c>
      <c r="C28" s="39"/>
      <c r="D28" s="39"/>
      <c r="E28" s="39"/>
    </row>
    <row r="29" spans="2:6" x14ac:dyDescent="0.25">
      <c r="B29" s="183" t="s">
        <v>9</v>
      </c>
      <c r="C29" s="39"/>
      <c r="D29" s="168"/>
      <c r="E29" s="168"/>
    </row>
    <row r="30" spans="2:6" x14ac:dyDescent="0.25">
      <c r="B30" s="183" t="s">
        <v>351</v>
      </c>
      <c r="C30" s="204" t="str">
        <f>IF(C31*0.1&lt;C29,"Exceed 10% Rule","")</f>
        <v/>
      </c>
      <c r="D30" s="173" t="str">
        <f>IF(D31*0.1&lt;D29,"Exceed 10% Rule","")</f>
        <v/>
      </c>
      <c r="E30" s="173" t="str">
        <f>IF(E31*0.1&lt;E29,"Exceed 10% Rule","")</f>
        <v/>
      </c>
    </row>
    <row r="31" spans="2:6" x14ac:dyDescent="0.25">
      <c r="B31" s="174" t="s">
        <v>71</v>
      </c>
      <c r="C31" s="177">
        <f>SUM(C18:C29)</f>
        <v>1658357</v>
      </c>
      <c r="D31" s="177">
        <f>SUM(D18:D29)</f>
        <v>1678989</v>
      </c>
      <c r="E31" s="177">
        <f>SUM(E18:E29)</f>
        <v>1972280.24</v>
      </c>
    </row>
    <row r="32" spans="2:6" x14ac:dyDescent="0.25">
      <c r="B32" s="93" t="s">
        <v>134</v>
      </c>
      <c r="C32" s="50">
        <f>C16-C31</f>
        <v>1587145</v>
      </c>
      <c r="D32" s="50">
        <f>D16-D31</f>
        <v>1277648</v>
      </c>
      <c r="E32" s="50">
        <f>E16-E31</f>
        <v>652881.76</v>
      </c>
    </row>
    <row r="33" spans="2:5" x14ac:dyDescent="0.25">
      <c r="B33" s="108" t="str">
        <f>CONCATENATE("",E1-2,"/",E1-1,"/",E1," Budget Authority Amount:")</f>
        <v>2024/2025/2026 Budget Authority Amount:</v>
      </c>
      <c r="C33" s="447">
        <f>inputOth!B78</f>
        <v>1767350</v>
      </c>
      <c r="D33" s="447">
        <f>inputPrYr!D37</f>
        <v>1905344</v>
      </c>
      <c r="E33" s="459">
        <f>E31</f>
        <v>1972280.24</v>
      </c>
    </row>
    <row r="34" spans="2:5" x14ac:dyDescent="0.25">
      <c r="B34" s="80"/>
      <c r="C34" s="185" t="str">
        <f>IF(C31&gt;C33,"See Tab A","")</f>
        <v/>
      </c>
      <c r="D34" s="185" t="str">
        <f>IF(D31&gt;D33,"See Tab C","")</f>
        <v/>
      </c>
      <c r="E34" s="460" t="str">
        <f>IF(E32&lt;0,"See Tab E","")</f>
        <v/>
      </c>
    </row>
    <row r="35" spans="2:5" x14ac:dyDescent="0.25">
      <c r="B35" s="80"/>
      <c r="C35" s="185" t="str">
        <f>IF(C32&lt;0,"See Tab B","")</f>
        <v/>
      </c>
      <c r="D35" s="185" t="str">
        <f>IF(D32&lt;0,"See Tab D","")</f>
        <v/>
      </c>
      <c r="E35" s="56"/>
    </row>
    <row r="36" spans="2:5" x14ac:dyDescent="0.25">
      <c r="B36" s="28"/>
      <c r="C36" s="56"/>
      <c r="D36" s="56"/>
      <c r="E36" s="56"/>
    </row>
    <row r="37" spans="2:5" x14ac:dyDescent="0.25">
      <c r="B37" s="29" t="s">
        <v>57</v>
      </c>
      <c r="C37" s="199"/>
      <c r="D37" s="199"/>
      <c r="E37" s="199"/>
    </row>
    <row r="38" spans="2:5" x14ac:dyDescent="0.25">
      <c r="B38" s="28"/>
      <c r="C38" s="443" t="s">
        <v>475</v>
      </c>
      <c r="D38" s="444" t="s">
        <v>476</v>
      </c>
      <c r="E38" s="87" t="s">
        <v>477</v>
      </c>
    </row>
    <row r="39" spans="2:5" x14ac:dyDescent="0.25">
      <c r="B39" s="334" t="str">
        <f>(inputPrYr!B38)</f>
        <v>Sewage Disposal Utility</v>
      </c>
      <c r="C39" s="137" t="str">
        <f>CONCATENATE("Actual for ",$E$1-2,"")</f>
        <v>Actual for 2024</v>
      </c>
      <c r="D39" s="137" t="str">
        <f>CONCATENATE("Estimate for ",$E$1-1,"")</f>
        <v>Estimate for 2025</v>
      </c>
      <c r="E39" s="122" t="str">
        <f>CONCATENATE("Year for ",$E$1,"")</f>
        <v>Year for 2026</v>
      </c>
    </row>
    <row r="40" spans="2:5" x14ac:dyDescent="0.25">
      <c r="B40" s="162" t="s">
        <v>133</v>
      </c>
      <c r="C40" s="39">
        <v>721980</v>
      </c>
      <c r="D40" s="140">
        <f>C65</f>
        <v>634818</v>
      </c>
      <c r="E40" s="140">
        <f>D65</f>
        <v>514568</v>
      </c>
    </row>
    <row r="41" spans="2:5" x14ac:dyDescent="0.25">
      <c r="B41" s="166" t="s">
        <v>135</v>
      </c>
      <c r="C41" s="52"/>
      <c r="D41" s="52"/>
      <c r="E41" s="52"/>
    </row>
    <row r="42" spans="2:5" x14ac:dyDescent="0.25">
      <c r="B42" s="182" t="s">
        <v>1115</v>
      </c>
      <c r="C42" s="39">
        <v>1299886</v>
      </c>
      <c r="D42" s="39">
        <v>1315000</v>
      </c>
      <c r="E42" s="39">
        <v>1370000</v>
      </c>
    </row>
    <row r="43" spans="2:5" x14ac:dyDescent="0.25">
      <c r="B43" s="182" t="s">
        <v>1107</v>
      </c>
      <c r="C43" s="39">
        <v>9630</v>
      </c>
      <c r="D43" s="39">
        <v>8000</v>
      </c>
      <c r="E43" s="39">
        <v>8000</v>
      </c>
    </row>
    <row r="44" spans="2:5" x14ac:dyDescent="0.25">
      <c r="B44" s="182" t="s">
        <v>1108</v>
      </c>
      <c r="C44" s="39">
        <v>3976</v>
      </c>
      <c r="D44" s="39">
        <v>50000</v>
      </c>
      <c r="E44" s="39">
        <v>50000</v>
      </c>
    </row>
    <row r="45" spans="2:5" x14ac:dyDescent="0.25">
      <c r="B45" s="182"/>
      <c r="C45" s="39"/>
      <c r="D45" s="39"/>
      <c r="E45" s="39"/>
    </row>
    <row r="46" spans="2:5" x14ac:dyDescent="0.25">
      <c r="B46" s="171" t="s">
        <v>63</v>
      </c>
      <c r="C46" s="39">
        <v>26201</v>
      </c>
      <c r="D46" s="39">
        <v>10879</v>
      </c>
      <c r="E46" s="39">
        <v>9357</v>
      </c>
    </row>
    <row r="47" spans="2:5" x14ac:dyDescent="0.25">
      <c r="B47" s="102" t="s">
        <v>9</v>
      </c>
      <c r="C47" s="39"/>
      <c r="D47" s="168"/>
      <c r="E47" s="168"/>
    </row>
    <row r="48" spans="2:5" x14ac:dyDescent="0.25">
      <c r="B48" s="162" t="s">
        <v>350</v>
      </c>
      <c r="C48" s="204" t="str">
        <f>IF(C49*0.1&lt;C47,"Exceed 10% Rule","")</f>
        <v/>
      </c>
      <c r="D48" s="173" t="str">
        <f>IF(D49*0.1&lt;D47,"Exceed 10% Rule","")</f>
        <v/>
      </c>
      <c r="E48" s="173" t="str">
        <f>IF(E49*0.1&lt;E47,"Exceed 10% Rule","")</f>
        <v/>
      </c>
    </row>
    <row r="49" spans="2:6" x14ac:dyDescent="0.25">
      <c r="B49" s="174" t="s">
        <v>64</v>
      </c>
      <c r="C49" s="177">
        <f>SUM(C42:C47)</f>
        <v>1339693</v>
      </c>
      <c r="D49" s="177">
        <f>SUM(D42:D47)</f>
        <v>1383879</v>
      </c>
      <c r="E49" s="177">
        <f>SUM(E42:E47)</f>
        <v>1437357</v>
      </c>
    </row>
    <row r="50" spans="2:6" x14ac:dyDescent="0.25">
      <c r="B50" s="174" t="s">
        <v>65</v>
      </c>
      <c r="C50" s="177">
        <f>C40+C49</f>
        <v>2061673</v>
      </c>
      <c r="D50" s="177">
        <f>D40+D49</f>
        <v>2018697</v>
      </c>
      <c r="E50" s="177">
        <f>E40+E49</f>
        <v>1951925</v>
      </c>
    </row>
    <row r="51" spans="2:6" x14ac:dyDescent="0.25">
      <c r="B51" s="93" t="s">
        <v>67</v>
      </c>
      <c r="C51" s="140"/>
      <c r="D51" s="140"/>
      <c r="E51" s="140"/>
    </row>
    <row r="52" spans="2:6" x14ac:dyDescent="0.25">
      <c r="B52" s="182" t="s">
        <v>1064</v>
      </c>
      <c r="C52" s="39">
        <v>258450</v>
      </c>
      <c r="D52" s="39">
        <v>274946</v>
      </c>
      <c r="E52" s="39">
        <v>271762</v>
      </c>
    </row>
    <row r="53" spans="2:6" x14ac:dyDescent="0.25">
      <c r="B53" s="182" t="s">
        <v>1066</v>
      </c>
      <c r="C53" s="39">
        <v>25806</v>
      </c>
      <c r="D53" s="39">
        <v>31900</v>
      </c>
      <c r="E53" s="39">
        <v>37883</v>
      </c>
    </row>
    <row r="54" spans="2:6" x14ac:dyDescent="0.25">
      <c r="B54" s="182" t="s">
        <v>1103</v>
      </c>
      <c r="C54" s="39">
        <v>168627</v>
      </c>
      <c r="D54" s="39">
        <v>273315</v>
      </c>
      <c r="E54" s="39">
        <v>309840</v>
      </c>
    </row>
    <row r="55" spans="2:6" x14ac:dyDescent="0.25">
      <c r="B55" s="182" t="s">
        <v>1067</v>
      </c>
      <c r="C55" s="39">
        <v>1976</v>
      </c>
      <c r="D55" s="39">
        <v>64250</v>
      </c>
      <c r="E55" s="39">
        <v>139750</v>
      </c>
    </row>
    <row r="56" spans="2:6" x14ac:dyDescent="0.25">
      <c r="B56" s="182" t="s">
        <v>1068</v>
      </c>
      <c r="C56" s="39">
        <v>89789</v>
      </c>
      <c r="D56" s="39">
        <v>93556</v>
      </c>
      <c r="E56" s="39">
        <v>101046</v>
      </c>
      <c r="F56" s="26" t="s">
        <v>1042</v>
      </c>
    </row>
    <row r="57" spans="2:6" x14ac:dyDescent="0.25">
      <c r="B57" s="182" t="s">
        <v>1025</v>
      </c>
      <c r="C57" s="39">
        <v>227250</v>
      </c>
      <c r="D57" s="39">
        <v>97250</v>
      </c>
      <c r="E57" s="39">
        <v>150905</v>
      </c>
      <c r="F57" s="26" t="s">
        <v>1042</v>
      </c>
    </row>
    <row r="58" spans="2:6" x14ac:dyDescent="0.25">
      <c r="B58" s="182" t="s">
        <v>1026</v>
      </c>
      <c r="C58" s="39">
        <v>46170</v>
      </c>
      <c r="D58" s="39">
        <v>57350</v>
      </c>
      <c r="E58" s="39">
        <v>82350</v>
      </c>
      <c r="F58" s="26" t="s">
        <v>1042</v>
      </c>
    </row>
    <row r="59" spans="2:6" x14ac:dyDescent="0.25">
      <c r="B59" s="182" t="s">
        <v>1110</v>
      </c>
      <c r="C59" s="39">
        <v>50751</v>
      </c>
      <c r="D59" s="39">
        <v>53526</v>
      </c>
      <c r="E59" s="39">
        <v>50808</v>
      </c>
      <c r="F59" s="26" t="s">
        <v>1042</v>
      </c>
    </row>
    <row r="60" spans="2:6" x14ac:dyDescent="0.25">
      <c r="B60" s="182" t="s">
        <v>1116</v>
      </c>
      <c r="C60" s="39">
        <v>558036</v>
      </c>
      <c r="D60" s="39">
        <v>558036</v>
      </c>
      <c r="E60" s="39">
        <v>558036</v>
      </c>
    </row>
    <row r="61" spans="2:6" x14ac:dyDescent="0.25">
      <c r="B61" s="183" t="str">
        <f>CONCATENATE("Cash Reserve (",E1," column)")</f>
        <v>Cash Reserve (2026 column)</v>
      </c>
      <c r="C61" s="39"/>
      <c r="D61" s="39"/>
      <c r="E61" s="39"/>
    </row>
    <row r="62" spans="2:6" x14ac:dyDescent="0.25">
      <c r="B62" s="183" t="s">
        <v>9</v>
      </c>
      <c r="C62" s="39"/>
      <c r="D62" s="168"/>
      <c r="E62" s="168"/>
    </row>
    <row r="63" spans="2:6" x14ac:dyDescent="0.25">
      <c r="B63" s="183" t="s">
        <v>351</v>
      </c>
      <c r="C63" s="204" t="str">
        <f>IF(C64*0.1&lt;C62,"Exceed 10% Rule","")</f>
        <v/>
      </c>
      <c r="D63" s="173" t="str">
        <f>IF(D64*0.1&lt;D62,"Exceed 10% Rule","")</f>
        <v/>
      </c>
      <c r="E63" s="173" t="str">
        <f>IF(E64*0.1&lt;E62,"Exceed 10% Rule","")</f>
        <v/>
      </c>
    </row>
    <row r="64" spans="2:6" x14ac:dyDescent="0.25">
      <c r="B64" s="174" t="s">
        <v>71</v>
      </c>
      <c r="C64" s="177">
        <f>SUM(C52:C62)</f>
        <v>1426855</v>
      </c>
      <c r="D64" s="177">
        <f>SUM(D52:D62)</f>
        <v>1504129</v>
      </c>
      <c r="E64" s="177">
        <f>SUM(E52:E62)</f>
        <v>1702380</v>
      </c>
    </row>
    <row r="65" spans="2:5" x14ac:dyDescent="0.25">
      <c r="B65" s="93" t="s">
        <v>134</v>
      </c>
      <c r="C65" s="50">
        <f>C50-C64</f>
        <v>634818</v>
      </c>
      <c r="D65" s="50">
        <f>D50-D64</f>
        <v>514568</v>
      </c>
      <c r="E65" s="50">
        <f>E50-E64</f>
        <v>249545</v>
      </c>
    </row>
    <row r="66" spans="2:5" x14ac:dyDescent="0.25">
      <c r="B66" s="108" t="str">
        <f>CONCATENATE("",E1-2,"/",E1-1,"/",E1," Budget Authority Amount:")</f>
        <v>2024/2025/2026 Budget Authority Amount:</v>
      </c>
      <c r="C66" s="447">
        <f>inputOth!B79</f>
        <v>1533734</v>
      </c>
      <c r="D66" s="447">
        <f>inputPrYr!D38</f>
        <v>1597403</v>
      </c>
      <c r="E66" s="459">
        <f>E64</f>
        <v>1702380</v>
      </c>
    </row>
    <row r="67" spans="2:5" x14ac:dyDescent="0.25">
      <c r="B67" s="80"/>
      <c r="C67" s="185" t="str">
        <f>IF(C64&gt;C66,"See Tab A","")</f>
        <v/>
      </c>
      <c r="D67" s="185" t="str">
        <f>IF(D64&gt;D66,"See Tab C","")</f>
        <v/>
      </c>
      <c r="E67" s="460" t="str">
        <f>IF(E65&lt;0,"See Tab E","")</f>
        <v/>
      </c>
    </row>
    <row r="68" spans="2:5" x14ac:dyDescent="0.25">
      <c r="B68" s="542" t="s">
        <v>535</v>
      </c>
      <c r="C68" s="529" t="str">
        <f>IF(C65&lt;0,"See Tab B","")</f>
        <v/>
      </c>
      <c r="D68" s="529" t="str">
        <f>IF(D65&lt;0,"See Tab D","")</f>
        <v/>
      </c>
      <c r="E68" s="512"/>
    </row>
    <row r="69" spans="2:5" x14ac:dyDescent="0.25">
      <c r="B69" s="530"/>
      <c r="C69" s="185"/>
      <c r="D69" s="185"/>
      <c r="E69" s="405"/>
    </row>
    <row r="70" spans="2:5" x14ac:dyDescent="0.25">
      <c r="B70" s="531"/>
      <c r="C70" s="532"/>
      <c r="D70" s="532"/>
      <c r="E70" s="49"/>
    </row>
    <row r="71" spans="2:5" x14ac:dyDescent="0.25">
      <c r="B71" s="28"/>
      <c r="C71" s="28"/>
      <c r="D71" s="28"/>
      <c r="E71" s="28"/>
    </row>
    <row r="72" spans="2:5" x14ac:dyDescent="0.25">
      <c r="B72" s="274" t="s">
        <v>74</v>
      </c>
      <c r="C72" s="465">
        <v>13</v>
      </c>
      <c r="D72" s="28"/>
      <c r="E72" s="28"/>
    </row>
    <row r="74" spans="2:5" x14ac:dyDescent="0.25">
      <c r="B74" s="543"/>
    </row>
  </sheetData>
  <phoneticPr fontId="0" type="noConversion"/>
  <conditionalFormatting sqref="C13">
    <cfRule type="cellIs" dxfId="188" priority="5" stopIfTrue="1" operator="greaterThan">
      <formula>$C$15*0.1</formula>
    </cfRule>
  </conditionalFormatting>
  <conditionalFormatting sqref="C29">
    <cfRule type="cellIs" dxfId="187" priority="8" stopIfTrue="1" operator="greaterThan">
      <formula>$C$31*0.1</formula>
    </cfRule>
  </conditionalFormatting>
  <conditionalFormatting sqref="C31">
    <cfRule type="cellIs" dxfId="186" priority="21" stopIfTrue="1" operator="greaterThan">
      <formula>$C$33</formula>
    </cfRule>
  </conditionalFormatting>
  <conditionalFormatting sqref="C32 C65">
    <cfRule type="cellIs" dxfId="185" priority="19" stopIfTrue="1" operator="lessThan">
      <formula>0</formula>
    </cfRule>
  </conditionalFormatting>
  <conditionalFormatting sqref="C47">
    <cfRule type="cellIs" dxfId="184" priority="11" stopIfTrue="1" operator="greaterThan">
      <formula>$C$49*0.1</formula>
    </cfRule>
  </conditionalFormatting>
  <conditionalFormatting sqref="C62">
    <cfRule type="cellIs" dxfId="183" priority="14" stopIfTrue="1" operator="greaterThan">
      <formula>$C$64*0.1</formula>
    </cfRule>
  </conditionalFormatting>
  <conditionalFormatting sqref="C64">
    <cfRule type="cellIs" dxfId="182" priority="18" stopIfTrue="1" operator="greaterThan">
      <formula>$C$66</formula>
    </cfRule>
  </conditionalFormatting>
  <conditionalFormatting sqref="D13">
    <cfRule type="cellIs" dxfId="181" priority="6" stopIfTrue="1" operator="greaterThan">
      <formula>$D$15*0.1</formula>
    </cfRule>
  </conditionalFormatting>
  <conditionalFormatting sqref="D29">
    <cfRule type="cellIs" dxfId="180" priority="9" stopIfTrue="1" operator="greaterThan">
      <formula>$D$31*0.1</formula>
    </cfRule>
  </conditionalFormatting>
  <conditionalFormatting sqref="D31">
    <cfRule type="cellIs" dxfId="179" priority="20" stopIfTrue="1" operator="greaterThan">
      <formula>$D$33</formula>
    </cfRule>
  </conditionalFormatting>
  <conditionalFormatting sqref="D32">
    <cfRule type="cellIs" dxfId="178" priority="3" stopIfTrue="1" operator="lessThan">
      <formula>0</formula>
    </cfRule>
  </conditionalFormatting>
  <conditionalFormatting sqref="D47">
    <cfRule type="cellIs" dxfId="177" priority="12" stopIfTrue="1" operator="greaterThan">
      <formula>$D$49*0.1</formula>
    </cfRule>
  </conditionalFormatting>
  <conditionalFormatting sqref="D62">
    <cfRule type="cellIs" dxfId="176" priority="15" stopIfTrue="1" operator="greaterThan">
      <formula>$D$64*0.1</formula>
    </cfRule>
  </conditionalFormatting>
  <conditionalFormatting sqref="D64">
    <cfRule type="cellIs" dxfId="175" priority="17" stopIfTrue="1" operator="greaterThan">
      <formula>$D$66</formula>
    </cfRule>
  </conditionalFormatting>
  <conditionalFormatting sqref="D65">
    <cfRule type="cellIs" dxfId="174" priority="4" stopIfTrue="1" operator="lessThan">
      <formula>0</formula>
    </cfRule>
  </conditionalFormatting>
  <conditionalFormatting sqref="E13">
    <cfRule type="cellIs" dxfId="173" priority="7" stopIfTrue="1" operator="greaterThan">
      <formula>$E$15*0.1</formula>
    </cfRule>
  </conditionalFormatting>
  <conditionalFormatting sqref="E29">
    <cfRule type="cellIs" dxfId="172" priority="10" stopIfTrue="1" operator="greaterThan">
      <formula>$E$31*0.1</formula>
    </cfRule>
  </conditionalFormatting>
  <conditionalFormatting sqref="E32:E33">
    <cfRule type="cellIs" dxfId="171" priority="2" stopIfTrue="1" operator="lessThan">
      <formula>0</formula>
    </cfRule>
  </conditionalFormatting>
  <conditionalFormatting sqref="E47">
    <cfRule type="cellIs" dxfId="170" priority="13" stopIfTrue="1" operator="greaterThan">
      <formula>$E$49*0.1</formula>
    </cfRule>
  </conditionalFormatting>
  <conditionalFormatting sqref="E62">
    <cfRule type="cellIs" dxfId="169" priority="16" stopIfTrue="1" operator="greaterThan">
      <formula>$E$64*0.1</formula>
    </cfRule>
  </conditionalFormatting>
  <conditionalFormatting sqref="E65:E66">
    <cfRule type="cellIs" dxfId="168" priority="1" stopIfTrue="1" operator="lessThan">
      <formula>0</formula>
    </cfRule>
  </conditionalFormatting>
  <pageMargins left="0.5" right="0.5" top="1" bottom="0.5" header="0.5" footer="0.5"/>
  <pageSetup scale="61" orientation="portrait" blackAndWhite="1"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DD571"/>
    <pageSetUpPr fitToPage="1"/>
  </sheetPr>
  <dimension ref="B1:F68"/>
  <sheetViews>
    <sheetView topLeftCell="A34" workbookViewId="0">
      <selection activeCell="D32" sqref="D32"/>
    </sheetView>
  </sheetViews>
  <sheetFormatPr defaultColWidth="8.9140625" defaultRowHeight="15.5" x14ac:dyDescent="0.25"/>
  <cols>
    <col min="1" max="1" width="2.4140625" style="26" customWidth="1"/>
    <col min="2" max="2" width="31.08203125" style="26" customWidth="1"/>
    <col min="3" max="4" width="15.75" style="26" customWidth="1"/>
    <col min="5" max="5" width="16.08203125" style="26" customWidth="1"/>
    <col min="6" max="16384" width="8.9140625" style="26"/>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t="str">
        <f>(inputPrYr!B39)</f>
        <v>Solid Waste Disposal Utility</v>
      </c>
      <c r="C5" s="137" t="str">
        <f>CONCATENATE("Actual for ",E1-2,"")</f>
        <v>Actual for 2024</v>
      </c>
      <c r="D5" s="137" t="str">
        <f>CONCATENATE("Estimate for ",E1-1,"")</f>
        <v>Estimate for 2025</v>
      </c>
      <c r="E5" s="122" t="str">
        <f>CONCATENATE("Year for ",E1,"")</f>
        <v>Year for 2026</v>
      </c>
    </row>
    <row r="6" spans="2:5" x14ac:dyDescent="0.25">
      <c r="B6" s="162" t="s">
        <v>133</v>
      </c>
      <c r="C6" s="39">
        <v>11001</v>
      </c>
      <c r="D6" s="140">
        <f>C30</f>
        <v>48447</v>
      </c>
      <c r="E6" s="140">
        <f>D30</f>
        <v>14883</v>
      </c>
    </row>
    <row r="7" spans="2:5" x14ac:dyDescent="0.25">
      <c r="B7" s="166" t="s">
        <v>135</v>
      </c>
      <c r="C7" s="52"/>
      <c r="D7" s="52"/>
      <c r="E7" s="52"/>
    </row>
    <row r="8" spans="2:5" x14ac:dyDescent="0.25">
      <c r="B8" s="182" t="s">
        <v>1117</v>
      </c>
      <c r="C8" s="39">
        <v>836115</v>
      </c>
      <c r="D8" s="39">
        <v>838000</v>
      </c>
      <c r="E8" s="39">
        <v>926832</v>
      </c>
    </row>
    <row r="9" spans="2:5" x14ac:dyDescent="0.25">
      <c r="B9" s="182" t="s">
        <v>1118</v>
      </c>
      <c r="C9" s="39">
        <v>10214</v>
      </c>
      <c r="D9" s="39">
        <v>9500</v>
      </c>
      <c r="E9" s="39">
        <v>9500</v>
      </c>
    </row>
    <row r="10" spans="2:5" x14ac:dyDescent="0.25">
      <c r="B10" s="182" t="s">
        <v>1107</v>
      </c>
      <c r="C10" s="39">
        <v>7390</v>
      </c>
      <c r="D10" s="39">
        <v>7000</v>
      </c>
      <c r="E10" s="39">
        <v>7000</v>
      </c>
    </row>
    <row r="11" spans="2:5" x14ac:dyDescent="0.25">
      <c r="B11" s="182"/>
      <c r="C11" s="39"/>
      <c r="D11" s="39"/>
      <c r="E11" s="39"/>
    </row>
    <row r="12" spans="2:5" x14ac:dyDescent="0.25">
      <c r="B12" s="171" t="s">
        <v>63</v>
      </c>
      <c r="C12" s="39">
        <v>4841</v>
      </c>
      <c r="D12" s="39">
        <v>5286</v>
      </c>
      <c r="E12" s="39">
        <v>5491</v>
      </c>
    </row>
    <row r="13" spans="2:5" x14ac:dyDescent="0.25">
      <c r="B13" s="102" t="s">
        <v>9</v>
      </c>
      <c r="C13" s="39"/>
      <c r="D13" s="168"/>
      <c r="E13" s="168"/>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858560</v>
      </c>
      <c r="D15" s="177">
        <f>SUM(D8:D13)</f>
        <v>859786</v>
      </c>
      <c r="E15" s="177">
        <f>SUM(E8:E13)</f>
        <v>948823</v>
      </c>
    </row>
    <row r="16" spans="2:5" x14ac:dyDescent="0.25">
      <c r="B16" s="174" t="s">
        <v>65</v>
      </c>
      <c r="C16" s="177">
        <f>C6+C15</f>
        <v>869561</v>
      </c>
      <c r="D16" s="177">
        <f>D6+D15</f>
        <v>908233</v>
      </c>
      <c r="E16" s="177">
        <f>E6+E15</f>
        <v>963706</v>
      </c>
    </row>
    <row r="17" spans="2:6" x14ac:dyDescent="0.25">
      <c r="B17" s="93" t="s">
        <v>67</v>
      </c>
      <c r="C17" s="140"/>
      <c r="D17" s="140"/>
      <c r="E17" s="140"/>
    </row>
    <row r="18" spans="2:6" x14ac:dyDescent="0.25">
      <c r="B18" s="182" t="s">
        <v>1064</v>
      </c>
      <c r="C18" s="39">
        <v>260514</v>
      </c>
      <c r="D18" s="39">
        <v>240786</v>
      </c>
      <c r="E18" s="39">
        <v>260219</v>
      </c>
    </row>
    <row r="19" spans="2:6" x14ac:dyDescent="0.25">
      <c r="B19" s="182" t="s">
        <v>1066</v>
      </c>
      <c r="C19" s="39">
        <v>31851</v>
      </c>
      <c r="D19" s="39">
        <v>33000</v>
      </c>
      <c r="E19" s="39">
        <v>38000</v>
      </c>
    </row>
    <row r="20" spans="2:6" x14ac:dyDescent="0.25">
      <c r="B20" s="182" t="s">
        <v>1103</v>
      </c>
      <c r="C20" s="39">
        <v>334956</v>
      </c>
      <c r="D20" s="39">
        <v>352175</v>
      </c>
      <c r="E20" s="39">
        <v>354150</v>
      </c>
    </row>
    <row r="21" spans="2:6" x14ac:dyDescent="0.25">
      <c r="B21" s="182" t="s">
        <v>1067</v>
      </c>
      <c r="C21" s="39">
        <v>0</v>
      </c>
      <c r="D21" s="39">
        <v>52500</v>
      </c>
      <c r="E21" s="39">
        <v>52500</v>
      </c>
    </row>
    <row r="22" spans="2:6" x14ac:dyDescent="0.25">
      <c r="B22" s="182" t="s">
        <v>1068</v>
      </c>
      <c r="C22" s="39">
        <v>87453</v>
      </c>
      <c r="D22" s="39">
        <v>84791</v>
      </c>
      <c r="E22" s="39">
        <v>107661</v>
      </c>
      <c r="F22" s="26" t="s">
        <v>1042</v>
      </c>
    </row>
    <row r="23" spans="2:6" x14ac:dyDescent="0.25">
      <c r="B23" s="182" t="s">
        <v>1025</v>
      </c>
      <c r="C23" s="39">
        <v>0</v>
      </c>
      <c r="D23" s="39">
        <v>10000</v>
      </c>
      <c r="E23" s="39">
        <v>10000</v>
      </c>
      <c r="F23" s="26" t="s">
        <v>1042</v>
      </c>
    </row>
    <row r="24" spans="2:6" x14ac:dyDescent="0.25">
      <c r="B24" s="182" t="s">
        <v>1026</v>
      </c>
      <c r="C24" s="39">
        <v>60000</v>
      </c>
      <c r="D24" s="39">
        <v>70000</v>
      </c>
      <c r="E24" s="39">
        <v>80000</v>
      </c>
      <c r="F24" s="26" t="s">
        <v>1042</v>
      </c>
    </row>
    <row r="25" spans="2:6" x14ac:dyDescent="0.25">
      <c r="B25" s="182" t="s">
        <v>1110</v>
      </c>
      <c r="C25" s="39">
        <v>46340</v>
      </c>
      <c r="D25" s="39">
        <v>50098</v>
      </c>
      <c r="E25" s="39">
        <v>42928</v>
      </c>
      <c r="F25" s="26" t="s">
        <v>1042</v>
      </c>
    </row>
    <row r="26" spans="2:6" x14ac:dyDescent="0.25">
      <c r="B26" s="183" t="str">
        <f>CONCATENATE("Cash Reserve (",E1," column)")</f>
        <v>Cash Reserve (2026 column)</v>
      </c>
      <c r="C26" s="39"/>
      <c r="D26" s="39"/>
      <c r="E26" s="39"/>
    </row>
    <row r="27" spans="2:6" x14ac:dyDescent="0.25">
      <c r="B27" s="183" t="s">
        <v>9</v>
      </c>
      <c r="C27" s="39"/>
      <c r="D27" s="168"/>
      <c r="E27" s="168"/>
    </row>
    <row r="28" spans="2:6" x14ac:dyDescent="0.25">
      <c r="B28" s="183" t="s">
        <v>351</v>
      </c>
      <c r="C28" s="204" t="str">
        <f>IF(C29*0.1&lt;C27,"Exceed 10% Rule","")</f>
        <v/>
      </c>
      <c r="D28" s="173" t="str">
        <f>IF(D29*0.1&lt;D27,"Exceed 10% Rule","")</f>
        <v/>
      </c>
      <c r="E28" s="173" t="str">
        <f>IF(E29*0.1&lt;E27,"Exceed 10% Rule","")</f>
        <v/>
      </c>
    </row>
    <row r="29" spans="2:6" x14ac:dyDescent="0.25">
      <c r="B29" s="174" t="s">
        <v>71</v>
      </c>
      <c r="C29" s="177">
        <f>SUM(C18:C27)</f>
        <v>821114</v>
      </c>
      <c r="D29" s="177">
        <f t="shared" ref="D29:E29" si="0">SUM(D18:D27)</f>
        <v>893350</v>
      </c>
      <c r="E29" s="177">
        <f t="shared" si="0"/>
        <v>945458</v>
      </c>
    </row>
    <row r="30" spans="2:6" x14ac:dyDescent="0.25">
      <c r="B30" s="93" t="s">
        <v>134</v>
      </c>
      <c r="C30" s="50">
        <f>C16-C29</f>
        <v>48447</v>
      </c>
      <c r="D30" s="50">
        <f>D16-D29</f>
        <v>14883</v>
      </c>
      <c r="E30" s="50">
        <f>E16-E29</f>
        <v>18248</v>
      </c>
    </row>
    <row r="31" spans="2:6" x14ac:dyDescent="0.25">
      <c r="B31" s="108" t="str">
        <f>CONCATENATE("",E1-2,"/",E1-1,"/",E1," Budget Authority Amount:")</f>
        <v>2024/2025/2026 Budget Authority Amount:</v>
      </c>
      <c r="C31" s="447">
        <f>inputOth!B80</f>
        <v>846405</v>
      </c>
      <c r="D31" s="447">
        <f>inputPrYr!D39</f>
        <v>864359</v>
      </c>
      <c r="E31" s="459">
        <f>E29</f>
        <v>945458</v>
      </c>
    </row>
    <row r="32" spans="2:6" x14ac:dyDescent="0.25">
      <c r="B32" s="80"/>
      <c r="C32" s="185" t="str">
        <f>IF(C29&gt;C31,"See Tab A","")</f>
        <v/>
      </c>
      <c r="D32" s="185" t="str">
        <f>IF(D29&gt;D31,"See Tab C","")</f>
        <v>See Tab C</v>
      </c>
      <c r="E32" s="460" t="str">
        <f>IF(E30&lt;0,"See Tab E","")</f>
        <v/>
      </c>
    </row>
    <row r="33" spans="2:5" x14ac:dyDescent="0.25">
      <c r="B33" s="80"/>
      <c r="C33" s="185" t="str">
        <f>IF(C30&lt;0,"See Tab B","")</f>
        <v/>
      </c>
      <c r="D33" s="185" t="str">
        <f>IF(D30&lt;0,"See Tab D","")</f>
        <v/>
      </c>
      <c r="E33" s="56"/>
    </row>
    <row r="34" spans="2:5" x14ac:dyDescent="0.25">
      <c r="B34" s="28"/>
      <c r="C34" s="56"/>
      <c r="D34" s="56"/>
      <c r="E34" s="56"/>
    </row>
    <row r="35" spans="2:5" x14ac:dyDescent="0.25">
      <c r="B35" s="29" t="s">
        <v>57</v>
      </c>
      <c r="C35" s="199"/>
      <c r="D35" s="199"/>
      <c r="E35" s="199"/>
    </row>
    <row r="36" spans="2:5" x14ac:dyDescent="0.25">
      <c r="B36" s="28"/>
      <c r="C36" s="443" t="s">
        <v>475</v>
      </c>
      <c r="D36" s="444" t="s">
        <v>476</v>
      </c>
      <c r="E36" s="87" t="s">
        <v>477</v>
      </c>
    </row>
    <row r="37" spans="2:5" x14ac:dyDescent="0.25">
      <c r="B37" s="334" t="str">
        <f>(inputPrYr!B40)</f>
        <v>Convention/Tourism</v>
      </c>
      <c r="C37" s="137" t="str">
        <f>CONCATENATE("Actual for ",$E$1-2,"")</f>
        <v>Actual for 2024</v>
      </c>
      <c r="D37" s="137" t="str">
        <f>CONCATENATE("Estimate for ",$E$1-1,"")</f>
        <v>Estimate for 2025</v>
      </c>
      <c r="E37" s="122" t="str">
        <f>CONCATENATE("Year for ",$E$1,"")</f>
        <v>Year for 2026</v>
      </c>
    </row>
    <row r="38" spans="2:5" x14ac:dyDescent="0.25">
      <c r="B38" s="162" t="s">
        <v>133</v>
      </c>
      <c r="C38" s="39">
        <v>1</v>
      </c>
      <c r="D38" s="140">
        <f>C61</f>
        <v>2</v>
      </c>
      <c r="E38" s="140">
        <f>D61</f>
        <v>2</v>
      </c>
    </row>
    <row r="39" spans="2:5" x14ac:dyDescent="0.25">
      <c r="B39" s="166" t="s">
        <v>135</v>
      </c>
      <c r="C39" s="52"/>
      <c r="D39" s="52"/>
      <c r="E39" s="52"/>
    </row>
    <row r="40" spans="2:5" x14ac:dyDescent="0.25">
      <c r="B40" s="182" t="s">
        <v>1119</v>
      </c>
      <c r="C40" s="39">
        <v>443526</v>
      </c>
      <c r="D40" s="39">
        <v>357560</v>
      </c>
      <c r="E40" s="39">
        <v>400000</v>
      </c>
    </row>
    <row r="41" spans="2:5" x14ac:dyDescent="0.25">
      <c r="B41" s="182"/>
      <c r="C41" s="39"/>
      <c r="D41" s="39"/>
      <c r="E41" s="39"/>
    </row>
    <row r="42" spans="2:5" x14ac:dyDescent="0.25">
      <c r="B42" s="182"/>
      <c r="C42" s="39"/>
      <c r="D42" s="39"/>
      <c r="E42" s="39"/>
    </row>
    <row r="43" spans="2:5" x14ac:dyDescent="0.25">
      <c r="B43" s="182"/>
      <c r="C43" s="39"/>
      <c r="D43" s="39"/>
      <c r="E43" s="39"/>
    </row>
    <row r="44" spans="2:5" x14ac:dyDescent="0.25">
      <c r="B44" s="171" t="s">
        <v>63</v>
      </c>
      <c r="C44" s="39"/>
      <c r="D44" s="39"/>
      <c r="E44" s="39"/>
    </row>
    <row r="45" spans="2:5" x14ac:dyDescent="0.25">
      <c r="B45" s="102" t="s">
        <v>9</v>
      </c>
      <c r="C45" s="39"/>
      <c r="D45" s="168"/>
      <c r="E45" s="168"/>
    </row>
    <row r="46" spans="2:5" x14ac:dyDescent="0.25">
      <c r="B46" s="162" t="s">
        <v>350</v>
      </c>
      <c r="C46" s="204" t="str">
        <f>IF(C47*0.1&lt;C45,"Exceed 10% Rule","")</f>
        <v/>
      </c>
      <c r="D46" s="173" t="str">
        <f>IF(D47*0.1&lt;D45,"Exceed 10% Rule","")</f>
        <v/>
      </c>
      <c r="E46" s="173" t="str">
        <f>IF(E47*0.1&lt;E45,"Exceed 10% Rule","")</f>
        <v/>
      </c>
    </row>
    <row r="47" spans="2:5" x14ac:dyDescent="0.25">
      <c r="B47" s="174" t="s">
        <v>64</v>
      </c>
      <c r="C47" s="177">
        <f>SUM(C40:C45)</f>
        <v>443526</v>
      </c>
      <c r="D47" s="177">
        <f>SUM(D40:D45)</f>
        <v>357560</v>
      </c>
      <c r="E47" s="177">
        <f>SUM(E40:E45)</f>
        <v>400000</v>
      </c>
    </row>
    <row r="48" spans="2:5" x14ac:dyDescent="0.25">
      <c r="B48" s="174" t="s">
        <v>65</v>
      </c>
      <c r="C48" s="177">
        <f>C38+C47</f>
        <v>443527</v>
      </c>
      <c r="D48" s="177">
        <f>D38+D47</f>
        <v>357562</v>
      </c>
      <c r="E48" s="177">
        <f>E38+E47</f>
        <v>400002</v>
      </c>
    </row>
    <row r="49" spans="2:5" x14ac:dyDescent="0.25">
      <c r="B49" s="93" t="s">
        <v>67</v>
      </c>
      <c r="C49" s="140"/>
      <c r="D49" s="140"/>
      <c r="E49" s="140"/>
    </row>
    <row r="50" spans="2:5" x14ac:dyDescent="0.25">
      <c r="B50" s="182" t="s">
        <v>1120</v>
      </c>
      <c r="C50" s="39">
        <v>443525</v>
      </c>
      <c r="D50" s="39">
        <v>357560</v>
      </c>
      <c r="E50" s="39">
        <v>400000</v>
      </c>
    </row>
    <row r="51" spans="2:5" x14ac:dyDescent="0.25">
      <c r="B51" s="182"/>
      <c r="C51" s="39"/>
      <c r="D51" s="39"/>
      <c r="E51" s="39"/>
    </row>
    <row r="52" spans="2:5" x14ac:dyDescent="0.25">
      <c r="B52" s="182"/>
      <c r="C52" s="39"/>
      <c r="D52" s="39"/>
      <c r="E52" s="39"/>
    </row>
    <row r="53" spans="2:5" x14ac:dyDescent="0.25">
      <c r="B53" s="182"/>
      <c r="C53" s="39"/>
      <c r="D53" s="39"/>
      <c r="E53" s="39"/>
    </row>
    <row r="54" spans="2:5" x14ac:dyDescent="0.25">
      <c r="B54" s="182"/>
      <c r="C54" s="39"/>
      <c r="D54" s="39"/>
      <c r="E54" s="39"/>
    </row>
    <row r="55" spans="2:5" x14ac:dyDescent="0.25">
      <c r="B55" s="182"/>
      <c r="C55" s="39"/>
      <c r="D55" s="39"/>
      <c r="E55" s="39"/>
    </row>
    <row r="56" spans="2:5" x14ac:dyDescent="0.25">
      <c r="B56" s="182"/>
      <c r="C56" s="39"/>
      <c r="D56" s="39"/>
      <c r="E56" s="39"/>
    </row>
    <row r="57" spans="2:5" x14ac:dyDescent="0.25">
      <c r="B57" s="183" t="str">
        <f>CONCATENATE("Cash Reserve (",E1," column)")</f>
        <v>Cash Reserve (2026 column)</v>
      </c>
      <c r="C57" s="39"/>
      <c r="D57" s="39"/>
      <c r="E57" s="39"/>
    </row>
    <row r="58" spans="2:5" x14ac:dyDescent="0.25">
      <c r="B58" s="183" t="s">
        <v>9</v>
      </c>
      <c r="C58" s="39"/>
      <c r="D58" s="168"/>
      <c r="E58" s="168"/>
    </row>
    <row r="59" spans="2:5" x14ac:dyDescent="0.25">
      <c r="B59" s="200" t="s">
        <v>351</v>
      </c>
      <c r="C59" s="204" t="str">
        <f>IF(C60*0.1&lt;C58,"Exceed 10% Rule","")</f>
        <v/>
      </c>
      <c r="D59" s="173" t="str">
        <f>IF(D60*0.1&lt;D58,"Exceed 10% Rule","")</f>
        <v/>
      </c>
      <c r="E59" s="173" t="str">
        <f>IF(E60*0.1&lt;E58,"Exceed 10% Rule","")</f>
        <v/>
      </c>
    </row>
    <row r="60" spans="2:5" x14ac:dyDescent="0.25">
      <c r="B60" s="174" t="s">
        <v>71</v>
      </c>
      <c r="C60" s="177">
        <f>SUM(C50:C58)</f>
        <v>443525</v>
      </c>
      <c r="D60" s="177">
        <f>SUM(D50:D58)</f>
        <v>357560</v>
      </c>
      <c r="E60" s="177">
        <f>SUM(E50:E58)</f>
        <v>400000</v>
      </c>
    </row>
    <row r="61" spans="2:5" x14ac:dyDescent="0.25">
      <c r="B61" s="93" t="s">
        <v>134</v>
      </c>
      <c r="C61" s="50">
        <f>C48-C60</f>
        <v>2</v>
      </c>
      <c r="D61" s="50">
        <f>D48-D60</f>
        <v>2</v>
      </c>
      <c r="E61" s="50">
        <f>E48-E60</f>
        <v>2</v>
      </c>
    </row>
    <row r="62" spans="2:5" x14ac:dyDescent="0.25">
      <c r="B62" s="108" t="str">
        <f>CONCATENATE("",E1-2,"/",E1-1,"/",E1," Budget Authority Amount:")</f>
        <v>2024/2025/2026 Budget Authority Amount:</v>
      </c>
      <c r="C62" s="447">
        <f>inputOth!B81</f>
        <v>550320</v>
      </c>
      <c r="D62" s="447">
        <f>inputPrYr!D40</f>
        <v>357560</v>
      </c>
      <c r="E62" s="459">
        <f>E60</f>
        <v>400000</v>
      </c>
    </row>
    <row r="63" spans="2:5" x14ac:dyDescent="0.25">
      <c r="B63" s="80"/>
      <c r="C63" s="185" t="str">
        <f>IF(C60&gt;C62,"See Tab A","")</f>
        <v/>
      </c>
      <c r="D63" s="185" t="str">
        <f>IF(D60&gt;D62,"See Tab C","")</f>
        <v/>
      </c>
      <c r="E63" s="460" t="str">
        <f>IF(E61&lt;0,"See Tab E","")</f>
        <v/>
      </c>
    </row>
    <row r="64" spans="2:5" x14ac:dyDescent="0.25">
      <c r="B64" s="542" t="s">
        <v>535</v>
      </c>
      <c r="C64" s="529" t="str">
        <f>IF(C61&lt;0,"See Tab B","")</f>
        <v/>
      </c>
      <c r="D64" s="529" t="str">
        <f>IF(D61&lt;0,"See Tab D","")</f>
        <v/>
      </c>
      <c r="E64" s="512"/>
    </row>
    <row r="65" spans="2:5" x14ac:dyDescent="0.25">
      <c r="B65" s="530"/>
      <c r="C65" s="185"/>
      <c r="D65" s="185"/>
      <c r="E65" s="405"/>
    </row>
    <row r="66" spans="2:5" x14ac:dyDescent="0.25">
      <c r="B66" s="531"/>
      <c r="C66" s="532"/>
      <c r="D66" s="532"/>
      <c r="E66" s="49"/>
    </row>
    <row r="67" spans="2:5" x14ac:dyDescent="0.25">
      <c r="B67" s="28"/>
      <c r="C67" s="28"/>
      <c r="D67" s="28"/>
      <c r="E67" s="28"/>
    </row>
    <row r="68" spans="2:5" x14ac:dyDescent="0.25">
      <c r="B68" s="274" t="s">
        <v>74</v>
      </c>
      <c r="C68" s="465">
        <v>14</v>
      </c>
      <c r="D68" s="28"/>
      <c r="E68" s="28"/>
    </row>
  </sheetData>
  <phoneticPr fontId="0" type="noConversion"/>
  <conditionalFormatting sqref="C13">
    <cfRule type="cellIs" dxfId="167" priority="5" stopIfTrue="1" operator="greaterThan">
      <formula>$C$15*0.1</formula>
    </cfRule>
  </conditionalFormatting>
  <conditionalFormatting sqref="C27">
    <cfRule type="cellIs" dxfId="166" priority="8" stopIfTrue="1" operator="greaterThan">
      <formula>$C$29*0.1</formula>
    </cfRule>
  </conditionalFormatting>
  <conditionalFormatting sqref="C30 C61">
    <cfRule type="cellIs" dxfId="165" priority="19" stopIfTrue="1" operator="lessThan">
      <formula>0</formula>
    </cfRule>
  </conditionalFormatting>
  <conditionalFormatting sqref="C45">
    <cfRule type="cellIs" dxfId="164" priority="11" stopIfTrue="1" operator="greaterThan">
      <formula>$C$47*0.1</formula>
    </cfRule>
  </conditionalFormatting>
  <conditionalFormatting sqref="C58">
    <cfRule type="cellIs" dxfId="163" priority="14" stopIfTrue="1" operator="greaterThan">
      <formula>$C$60*0.1</formula>
    </cfRule>
  </conditionalFormatting>
  <conditionalFormatting sqref="C60">
    <cfRule type="cellIs" dxfId="162" priority="18" stopIfTrue="1" operator="greaterThan">
      <formula>$C$62</formula>
    </cfRule>
  </conditionalFormatting>
  <conditionalFormatting sqref="C29:E29">
    <cfRule type="cellIs" dxfId="161" priority="21" stopIfTrue="1" operator="greaterThan">
      <formula>$C$31</formula>
    </cfRule>
  </conditionalFormatting>
  <conditionalFormatting sqref="D13">
    <cfRule type="cellIs" dxfId="160" priority="6" stopIfTrue="1" operator="greaterThan">
      <formula>$D$15*0.1</formula>
    </cfRule>
  </conditionalFormatting>
  <conditionalFormatting sqref="D27">
    <cfRule type="cellIs" dxfId="159" priority="9" stopIfTrue="1" operator="greaterThan">
      <formula>$D$29*0.1</formula>
    </cfRule>
  </conditionalFormatting>
  <conditionalFormatting sqref="D30">
    <cfRule type="cellIs" dxfId="158" priority="3" stopIfTrue="1" operator="lessThan">
      <formula>0</formula>
    </cfRule>
  </conditionalFormatting>
  <conditionalFormatting sqref="D45">
    <cfRule type="cellIs" dxfId="157" priority="12" stopIfTrue="1" operator="greaterThan">
      <formula>$D$47*0.1</formula>
    </cfRule>
  </conditionalFormatting>
  <conditionalFormatting sqref="D58">
    <cfRule type="cellIs" dxfId="156" priority="15" stopIfTrue="1" operator="greaterThan">
      <formula>$D$60*0.1</formula>
    </cfRule>
  </conditionalFormatting>
  <conditionalFormatting sqref="D60">
    <cfRule type="cellIs" dxfId="155" priority="17" stopIfTrue="1" operator="greaterThan">
      <formula>$D$62</formula>
    </cfRule>
  </conditionalFormatting>
  <conditionalFormatting sqref="D61">
    <cfRule type="cellIs" dxfId="154" priority="4" stopIfTrue="1" operator="lessThan">
      <formula>0</formula>
    </cfRule>
  </conditionalFormatting>
  <conditionalFormatting sqref="E13">
    <cfRule type="cellIs" dxfId="153" priority="7" stopIfTrue="1" operator="greaterThan">
      <formula>$E$15*0.1</formula>
    </cfRule>
  </conditionalFormatting>
  <conditionalFormatting sqref="E27">
    <cfRule type="cellIs" dxfId="152" priority="10" stopIfTrue="1" operator="greaterThan">
      <formula>$E$29*0.1</formula>
    </cfRule>
  </conditionalFormatting>
  <conditionalFormatting sqref="E30:E31">
    <cfRule type="cellIs" dxfId="151" priority="2" stopIfTrue="1" operator="lessThan">
      <formula>0</formula>
    </cfRule>
  </conditionalFormatting>
  <conditionalFormatting sqref="E45">
    <cfRule type="cellIs" dxfId="150" priority="13" stopIfTrue="1" operator="greaterThan">
      <formula>$E$47*0.1</formula>
    </cfRule>
  </conditionalFormatting>
  <conditionalFormatting sqref="E58">
    <cfRule type="cellIs" dxfId="149" priority="16" stopIfTrue="1" operator="greaterThan">
      <formula>$E$60*0.1</formula>
    </cfRule>
  </conditionalFormatting>
  <conditionalFormatting sqref="E61:E62">
    <cfRule type="cellIs" dxfId="148" priority="1" stopIfTrue="1" operator="lessThan">
      <formula>0</formula>
    </cfRule>
  </conditionalFormatting>
  <pageMargins left="0.5" right="0.5" top="1" bottom="0.5" header="0.5" footer="0.5"/>
  <pageSetup scale="64" orientation="portrait" blackAndWhite="1" r:id="rId1"/>
  <headerFooter alignWithMargins="0">
    <oddHeader>&amp;RState of Kansas
City</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DD571"/>
    <pageSetUpPr fitToPage="1"/>
  </sheetPr>
  <dimension ref="B1:F63"/>
  <sheetViews>
    <sheetView topLeftCell="A31" workbookViewId="0">
      <selection activeCell="E19" sqref="E19"/>
    </sheetView>
  </sheetViews>
  <sheetFormatPr defaultColWidth="8.9140625" defaultRowHeight="15.5" x14ac:dyDescent="0.25"/>
  <cols>
    <col min="1" max="1" width="2.4140625" style="26" customWidth="1"/>
    <col min="2" max="2" width="31.08203125" style="26" customWidth="1"/>
    <col min="3" max="4" width="15.75" style="26" customWidth="1"/>
    <col min="5" max="5" width="16.25" style="26" customWidth="1"/>
    <col min="6" max="16384" width="8.9140625" style="26"/>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t="str">
        <f>inputPrYr!B41</f>
        <v>Law Enforcement Trust</v>
      </c>
      <c r="C5" s="137" t="str">
        <f>CONCATENATE("Actual for ",E1-2,"")</f>
        <v>Actual for 2024</v>
      </c>
      <c r="D5" s="137" t="str">
        <f>CONCATENATE("Estimate for ",E1-1,"")</f>
        <v>Estimate for 2025</v>
      </c>
      <c r="E5" s="122" t="str">
        <f>CONCATENATE("Year for ",E1,"")</f>
        <v>Year for 2026</v>
      </c>
    </row>
    <row r="6" spans="2:5" x14ac:dyDescent="0.25">
      <c r="B6" s="162" t="s">
        <v>133</v>
      </c>
      <c r="C6" s="39">
        <v>1109480</v>
      </c>
      <c r="D6" s="140">
        <f>C27</f>
        <v>1073437</v>
      </c>
      <c r="E6" s="140">
        <f>D27</f>
        <v>1107947</v>
      </c>
    </row>
    <row r="7" spans="2:5" x14ac:dyDescent="0.25">
      <c r="B7" s="166" t="s">
        <v>135</v>
      </c>
      <c r="C7" s="52"/>
      <c r="D7" s="52"/>
      <c r="E7" s="52"/>
    </row>
    <row r="8" spans="2:5" x14ac:dyDescent="0.25">
      <c r="B8" s="182" t="s">
        <v>1121</v>
      </c>
      <c r="C8" s="39">
        <v>0</v>
      </c>
      <c r="D8" s="39">
        <v>0</v>
      </c>
      <c r="E8" s="39">
        <v>2000</v>
      </c>
    </row>
    <row r="9" spans="2:5" x14ac:dyDescent="0.25">
      <c r="B9" s="182" t="s">
        <v>1122</v>
      </c>
      <c r="C9" s="39">
        <v>1125</v>
      </c>
      <c r="D9" s="39">
        <v>0</v>
      </c>
      <c r="E9" s="39">
        <v>0</v>
      </c>
    </row>
    <row r="10" spans="2:5" x14ac:dyDescent="0.25">
      <c r="B10" s="182" t="s">
        <v>1123</v>
      </c>
      <c r="C10" s="39">
        <v>0</v>
      </c>
      <c r="D10" s="39">
        <v>0</v>
      </c>
      <c r="E10" s="39">
        <v>0</v>
      </c>
    </row>
    <row r="11" spans="2:5" x14ac:dyDescent="0.25">
      <c r="B11" s="182" t="s">
        <v>1124</v>
      </c>
      <c r="C11" s="39">
        <v>0</v>
      </c>
      <c r="D11" s="39">
        <v>100000</v>
      </c>
      <c r="E11" s="39">
        <v>0</v>
      </c>
    </row>
    <row r="12" spans="2:5" x14ac:dyDescent="0.25">
      <c r="B12" s="171" t="s">
        <v>63</v>
      </c>
      <c r="C12" s="39">
        <v>58497</v>
      </c>
      <c r="D12" s="39">
        <v>49986</v>
      </c>
      <c r="E12" s="39">
        <v>42365</v>
      </c>
    </row>
    <row r="13" spans="2:5" x14ac:dyDescent="0.25">
      <c r="B13" s="102" t="s">
        <v>9</v>
      </c>
      <c r="C13" s="39"/>
      <c r="D13" s="168"/>
      <c r="E13" s="168"/>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59622</v>
      </c>
      <c r="D15" s="177">
        <f>SUM(D8:D13)</f>
        <v>149986</v>
      </c>
      <c r="E15" s="177">
        <f>SUM(E8:E13)</f>
        <v>44365</v>
      </c>
    </row>
    <row r="16" spans="2:5" x14ac:dyDescent="0.25">
      <c r="B16" s="174" t="s">
        <v>65</v>
      </c>
      <c r="C16" s="177">
        <f>C6+C15</f>
        <v>1169102</v>
      </c>
      <c r="D16" s="177">
        <f>D6+D15</f>
        <v>1223423</v>
      </c>
      <c r="E16" s="177">
        <f>E6+E15</f>
        <v>1152312</v>
      </c>
    </row>
    <row r="17" spans="2:6" x14ac:dyDescent="0.25">
      <c r="B17" s="93" t="s">
        <v>67</v>
      </c>
      <c r="C17" s="140"/>
      <c r="D17" s="140"/>
      <c r="E17" s="140"/>
    </row>
    <row r="18" spans="2:6" x14ac:dyDescent="0.25">
      <c r="B18" s="182" t="s">
        <v>1064</v>
      </c>
      <c r="C18" s="39">
        <v>32325</v>
      </c>
      <c r="D18" s="39">
        <v>66932</v>
      </c>
      <c r="E18" s="39">
        <v>82874</v>
      </c>
    </row>
    <row r="19" spans="2:6" x14ac:dyDescent="0.25">
      <c r="B19" s="182" t="s">
        <v>1066</v>
      </c>
      <c r="C19" s="39">
        <v>0</v>
      </c>
      <c r="D19" s="39">
        <v>0</v>
      </c>
      <c r="E19" s="39">
        <v>500</v>
      </c>
    </row>
    <row r="20" spans="2:6" x14ac:dyDescent="0.25">
      <c r="B20" s="182" t="s">
        <v>1103</v>
      </c>
      <c r="C20" s="39">
        <v>6449</v>
      </c>
      <c r="D20" s="39">
        <v>15963</v>
      </c>
      <c r="E20" s="39">
        <v>35500</v>
      </c>
    </row>
    <row r="21" spans="2:6" x14ac:dyDescent="0.25">
      <c r="B21" s="182" t="s">
        <v>1067</v>
      </c>
      <c r="C21" s="39">
        <v>45780</v>
      </c>
      <c r="D21" s="39">
        <v>4200</v>
      </c>
      <c r="E21" s="39">
        <v>4200</v>
      </c>
    </row>
    <row r="22" spans="2:6" x14ac:dyDescent="0.25">
      <c r="B22" s="182" t="s">
        <v>1068</v>
      </c>
      <c r="C22" s="39">
        <v>11111</v>
      </c>
      <c r="D22" s="39">
        <v>28381</v>
      </c>
      <c r="E22" s="39">
        <v>27696</v>
      </c>
      <c r="F22" s="26" t="s">
        <v>1042</v>
      </c>
    </row>
    <row r="23" spans="2:6" x14ac:dyDescent="0.25">
      <c r="B23" s="183" t="str">
        <f>CONCATENATE("Cash Reserve (",E1," column)")</f>
        <v>Cash Reserve (2026 column)</v>
      </c>
      <c r="C23" s="39"/>
      <c r="D23" s="39"/>
      <c r="E23" s="39"/>
    </row>
    <row r="24" spans="2:6" x14ac:dyDescent="0.25">
      <c r="B24" s="183" t="s">
        <v>9</v>
      </c>
      <c r="C24" s="39"/>
      <c r="D24" s="168"/>
      <c r="E24" s="168"/>
    </row>
    <row r="25" spans="2:6" x14ac:dyDescent="0.25">
      <c r="B25" s="183" t="s">
        <v>351</v>
      </c>
      <c r="C25" s="204" t="str">
        <f>IF(C26*0.1&lt;C24,"Exceed 10% Rule","")</f>
        <v/>
      </c>
      <c r="D25" s="173" t="str">
        <f>IF(D26*0.1&lt;D24,"Exceed 10% Rule","")</f>
        <v/>
      </c>
      <c r="E25" s="173" t="str">
        <f>IF(E26*0.1&lt;E24,"Exceed 10% Rule","")</f>
        <v/>
      </c>
    </row>
    <row r="26" spans="2:6" x14ac:dyDescent="0.25">
      <c r="B26" s="174" t="s">
        <v>71</v>
      </c>
      <c r="C26" s="177">
        <f>SUM(C18:C24)</f>
        <v>95665</v>
      </c>
      <c r="D26" s="177">
        <f>SUM(D18:D24)</f>
        <v>115476</v>
      </c>
      <c r="E26" s="177">
        <f>SUM(E18:E24)</f>
        <v>150770</v>
      </c>
    </row>
    <row r="27" spans="2:6" x14ac:dyDescent="0.25">
      <c r="B27" s="93" t="s">
        <v>134</v>
      </c>
      <c r="C27" s="50">
        <f>C16-C26</f>
        <v>1073437</v>
      </c>
      <c r="D27" s="50">
        <f>D16-D26</f>
        <v>1107947</v>
      </c>
      <c r="E27" s="50">
        <f>E16-E26</f>
        <v>1001542</v>
      </c>
    </row>
    <row r="28" spans="2:6" x14ac:dyDescent="0.25">
      <c r="B28" s="108" t="str">
        <f>CONCATENATE("",E1-2,"/",E1-1,"/",E1," Budget Authority Amount:")</f>
        <v>2024/2025/2026 Budget Authority Amount:</v>
      </c>
      <c r="C28" s="447">
        <f>inputOth!B82</f>
        <v>168269</v>
      </c>
      <c r="D28" s="447">
        <f>inputPrYr!D41</f>
        <v>166735</v>
      </c>
      <c r="E28" s="459">
        <f>E26</f>
        <v>150770</v>
      </c>
    </row>
    <row r="29" spans="2:6" x14ac:dyDescent="0.25">
      <c r="B29" s="80"/>
      <c r="C29" s="185" t="str">
        <f>IF(C26&gt;C28,"See Tab A","")</f>
        <v/>
      </c>
      <c r="D29" s="185" t="str">
        <f>IF(D26&gt;D28,"See Tab C","")</f>
        <v/>
      </c>
      <c r="E29" s="460" t="str">
        <f>IF(E27&lt;0,"See Tab E","")</f>
        <v/>
      </c>
    </row>
    <row r="30" spans="2:6" x14ac:dyDescent="0.25">
      <c r="B30" s="80"/>
      <c r="C30" s="185" t="str">
        <f>IF(C27&lt;0,"See Tab B","")</f>
        <v/>
      </c>
      <c r="D30" s="185" t="str">
        <f>IF(D27&lt;0,"See Tab D","")</f>
        <v/>
      </c>
      <c r="E30" s="56"/>
    </row>
    <row r="31" spans="2:6" x14ac:dyDescent="0.25">
      <c r="B31" s="28"/>
      <c r="C31" s="56"/>
      <c r="D31" s="56"/>
      <c r="E31" s="56"/>
    </row>
    <row r="32" spans="2:6" x14ac:dyDescent="0.25">
      <c r="B32" s="29" t="s">
        <v>57</v>
      </c>
      <c r="C32" s="199"/>
      <c r="D32" s="199"/>
      <c r="E32" s="199"/>
    </row>
    <row r="33" spans="2:5" x14ac:dyDescent="0.25">
      <c r="B33" s="28"/>
      <c r="C33" s="443" t="s">
        <v>475</v>
      </c>
      <c r="D33" s="444" t="s">
        <v>476</v>
      </c>
      <c r="E33" s="87" t="s">
        <v>477</v>
      </c>
    </row>
    <row r="34" spans="2:5" x14ac:dyDescent="0.25">
      <c r="B34" s="334" t="str">
        <f>inputPrYr!B42</f>
        <v>Special Parks/Recreation</v>
      </c>
      <c r="C34" s="137" t="str">
        <f>CONCATENATE("Actual for ",$E$1-2,"")</f>
        <v>Actual for 2024</v>
      </c>
      <c r="D34" s="137" t="str">
        <f>CONCATENATE("Estimate for ",$E$1-1,"")</f>
        <v>Estimate for 2025</v>
      </c>
      <c r="E34" s="122" t="str">
        <f>CONCATENATE("Year for ",$E$1,"")</f>
        <v>Year for 2026</v>
      </c>
    </row>
    <row r="35" spans="2:5" x14ac:dyDescent="0.25">
      <c r="B35" s="162" t="s">
        <v>133</v>
      </c>
      <c r="C35" s="39">
        <v>7431</v>
      </c>
      <c r="D35" s="140">
        <f>C56</f>
        <v>11208</v>
      </c>
      <c r="E35" s="140">
        <f>D56</f>
        <v>33531</v>
      </c>
    </row>
    <row r="36" spans="2:5" x14ac:dyDescent="0.25">
      <c r="B36" s="166" t="s">
        <v>135</v>
      </c>
      <c r="C36" s="52"/>
      <c r="D36" s="52"/>
      <c r="E36" s="52"/>
    </row>
    <row r="37" spans="2:5" x14ac:dyDescent="0.25">
      <c r="B37" s="182" t="s">
        <v>1119</v>
      </c>
      <c r="C37" s="39">
        <v>31714</v>
      </c>
      <c r="D37" s="39">
        <v>31265</v>
      </c>
      <c r="E37" s="39">
        <v>30923</v>
      </c>
    </row>
    <row r="38" spans="2:5" x14ac:dyDescent="0.25">
      <c r="B38" s="182" t="s">
        <v>1125</v>
      </c>
      <c r="C38" s="39">
        <v>0</v>
      </c>
      <c r="D38" s="39">
        <v>31096</v>
      </c>
      <c r="E38" s="39">
        <v>40000</v>
      </c>
    </row>
    <row r="39" spans="2:5" x14ac:dyDescent="0.25">
      <c r="B39" s="182"/>
      <c r="C39" s="39"/>
      <c r="D39" s="39"/>
      <c r="E39" s="39"/>
    </row>
    <row r="40" spans="2:5" x14ac:dyDescent="0.25">
      <c r="B40" s="182"/>
      <c r="C40" s="39"/>
      <c r="D40" s="39"/>
      <c r="E40" s="39"/>
    </row>
    <row r="41" spans="2:5" x14ac:dyDescent="0.25">
      <c r="B41" s="171" t="s">
        <v>63</v>
      </c>
      <c r="C41" s="39">
        <v>7096</v>
      </c>
      <c r="D41" s="39">
        <v>5977</v>
      </c>
      <c r="E41" s="39">
        <v>5580</v>
      </c>
    </row>
    <row r="42" spans="2:5" x14ac:dyDescent="0.25">
      <c r="B42" s="102" t="s">
        <v>9</v>
      </c>
      <c r="C42" s="39"/>
      <c r="D42" s="168"/>
      <c r="E42" s="168"/>
    </row>
    <row r="43" spans="2:5" x14ac:dyDescent="0.25">
      <c r="B43" s="162" t="s">
        <v>350</v>
      </c>
      <c r="C43" s="204" t="str">
        <f>IF(C44*0.1&lt;C42,"Exceed 10% Rule","")</f>
        <v/>
      </c>
      <c r="D43" s="173" t="str">
        <f>IF(D44*0.1&lt;D42,"Exceed 10% Rule","")</f>
        <v/>
      </c>
      <c r="E43" s="173" t="str">
        <f>IF(E44*0.1&lt;E42,"Exceed 10% Rule","")</f>
        <v/>
      </c>
    </row>
    <row r="44" spans="2:5" x14ac:dyDescent="0.25">
      <c r="B44" s="174" t="s">
        <v>64</v>
      </c>
      <c r="C44" s="177">
        <f>SUM(C37:C42)</f>
        <v>38810</v>
      </c>
      <c r="D44" s="177">
        <f>SUM(D37:D42)</f>
        <v>68338</v>
      </c>
      <c r="E44" s="177">
        <f>SUM(E37:E42)</f>
        <v>76503</v>
      </c>
    </row>
    <row r="45" spans="2:5" x14ac:dyDescent="0.25">
      <c r="B45" s="174" t="s">
        <v>65</v>
      </c>
      <c r="C45" s="177">
        <f>C35+C44</f>
        <v>46241</v>
      </c>
      <c r="D45" s="177">
        <f>D35+D44</f>
        <v>79546</v>
      </c>
      <c r="E45" s="177">
        <f>E35+E44</f>
        <v>110034</v>
      </c>
    </row>
    <row r="46" spans="2:5" x14ac:dyDescent="0.25">
      <c r="B46" s="93" t="s">
        <v>67</v>
      </c>
      <c r="C46" s="140"/>
      <c r="D46" s="140"/>
      <c r="E46" s="140"/>
    </row>
    <row r="47" spans="2:5" x14ac:dyDescent="0.25">
      <c r="B47" s="182" t="s">
        <v>1066</v>
      </c>
      <c r="C47" s="39">
        <v>4200</v>
      </c>
      <c r="D47" s="39">
        <v>5000</v>
      </c>
      <c r="E47" s="39">
        <v>5000</v>
      </c>
    </row>
    <row r="48" spans="2:5" x14ac:dyDescent="0.25">
      <c r="B48" s="182" t="s">
        <v>1103</v>
      </c>
      <c r="C48" s="39">
        <v>5214</v>
      </c>
      <c r="D48" s="39">
        <v>6000</v>
      </c>
      <c r="E48" s="39">
        <v>9000</v>
      </c>
    </row>
    <row r="49" spans="2:5" x14ac:dyDescent="0.25">
      <c r="B49" s="182" t="s">
        <v>1067</v>
      </c>
      <c r="C49" s="39">
        <v>13119</v>
      </c>
      <c r="D49" s="39">
        <v>10015</v>
      </c>
      <c r="E49" s="39">
        <v>80000</v>
      </c>
    </row>
    <row r="50" spans="2:5" x14ac:dyDescent="0.25">
      <c r="B50" s="182" t="s">
        <v>1025</v>
      </c>
      <c r="C50" s="39">
        <v>12500</v>
      </c>
      <c r="D50" s="39">
        <v>25000</v>
      </c>
      <c r="E50" s="39">
        <v>15000</v>
      </c>
    </row>
    <row r="51" spans="2:5" x14ac:dyDescent="0.25">
      <c r="B51" s="182"/>
      <c r="C51" s="39"/>
      <c r="D51" s="39"/>
      <c r="E51" s="39"/>
    </row>
    <row r="52" spans="2:5" x14ac:dyDescent="0.25">
      <c r="B52" s="183" t="str">
        <f>CONCATENATE("Cash Reserve (",E1," column)")</f>
        <v>Cash Reserve (2026 column)</v>
      </c>
      <c r="C52" s="39"/>
      <c r="D52" s="39"/>
      <c r="E52" s="39"/>
    </row>
    <row r="53" spans="2:5" x14ac:dyDescent="0.25">
      <c r="B53" s="183" t="s">
        <v>9</v>
      </c>
      <c r="C53" s="39"/>
      <c r="D53" s="168"/>
      <c r="E53" s="168"/>
    </row>
    <row r="54" spans="2:5" x14ac:dyDescent="0.25">
      <c r="B54" s="183" t="s">
        <v>351</v>
      </c>
      <c r="C54" s="204" t="str">
        <f>IF(C55*0.1&lt;C53,"Exceed 10% Rule","")</f>
        <v/>
      </c>
      <c r="D54" s="173" t="str">
        <f>IF(D55*0.1&lt;D53,"Exceed 10% Rule","")</f>
        <v/>
      </c>
      <c r="E54" s="173" t="str">
        <f>IF(E55*0.1&lt;E53,"Exceed 10% Rule","")</f>
        <v/>
      </c>
    </row>
    <row r="55" spans="2:5" x14ac:dyDescent="0.25">
      <c r="B55" s="174" t="s">
        <v>71</v>
      </c>
      <c r="C55" s="177">
        <f>SUM(C47:C53)</f>
        <v>35033</v>
      </c>
      <c r="D55" s="177">
        <f>SUM(D47:D53)</f>
        <v>46015</v>
      </c>
      <c r="E55" s="177">
        <f>SUM(E47:E53)</f>
        <v>109000</v>
      </c>
    </row>
    <row r="56" spans="2:5" x14ac:dyDescent="0.25">
      <c r="B56" s="93" t="s">
        <v>134</v>
      </c>
      <c r="C56" s="50">
        <f>C45-C55</f>
        <v>11208</v>
      </c>
      <c r="D56" s="50">
        <f>D45-D55</f>
        <v>33531</v>
      </c>
      <c r="E56" s="50">
        <f>E45-E55</f>
        <v>1034</v>
      </c>
    </row>
    <row r="57" spans="2:5" x14ac:dyDescent="0.25">
      <c r="B57" s="108" t="str">
        <f>CONCATENATE("",E1-2,"/",E1-1,"/",E1," Budget Authority Amount:")</f>
        <v>2024/2025/2026 Budget Authority Amount:</v>
      </c>
      <c r="C57" s="447">
        <f>inputOth!B83</f>
        <v>141500</v>
      </c>
      <c r="D57" s="447">
        <f>inputPrYr!D42</f>
        <v>154000</v>
      </c>
      <c r="E57" s="459">
        <f>E55</f>
        <v>109000</v>
      </c>
    </row>
    <row r="58" spans="2:5" x14ac:dyDescent="0.25">
      <c r="B58" s="80"/>
      <c r="C58" s="185" t="str">
        <f>IF(C55&gt;C57,"See Tab A","")</f>
        <v/>
      </c>
      <c r="D58" s="185" t="str">
        <f>IF(D55&gt;D57,"See Tab C","")</f>
        <v/>
      </c>
      <c r="E58" s="460" t="str">
        <f>IF(E56&lt;0,"See Tab E","")</f>
        <v/>
      </c>
    </row>
    <row r="59" spans="2:5" x14ac:dyDescent="0.25">
      <c r="B59" s="542" t="s">
        <v>535</v>
      </c>
      <c r="C59" s="529" t="str">
        <f>IF(C56&lt;0,"See Tab B","")</f>
        <v/>
      </c>
      <c r="D59" s="529" t="str">
        <f>IF(D56&lt;0,"See Tab D","")</f>
        <v/>
      </c>
      <c r="E59" s="512"/>
    </row>
    <row r="60" spans="2:5" x14ac:dyDescent="0.25">
      <c r="B60" s="530"/>
      <c r="C60" s="185"/>
      <c r="D60" s="185"/>
      <c r="E60" s="405"/>
    </row>
    <row r="61" spans="2:5" x14ac:dyDescent="0.25">
      <c r="B61" s="531"/>
      <c r="C61" s="532"/>
      <c r="D61" s="532"/>
      <c r="E61" s="49"/>
    </row>
    <row r="62" spans="2:5" x14ac:dyDescent="0.25">
      <c r="B62" s="28"/>
      <c r="C62" s="28"/>
      <c r="D62" s="28"/>
      <c r="E62" s="28"/>
    </row>
    <row r="63" spans="2:5" x14ac:dyDescent="0.25">
      <c r="B63" s="274" t="s">
        <v>74</v>
      </c>
      <c r="C63" s="465">
        <v>15</v>
      </c>
      <c r="D63" s="28"/>
      <c r="E63" s="28"/>
    </row>
  </sheetData>
  <sheetProtection sheet="1" objects="1" scenarios="1"/>
  <phoneticPr fontId="0" type="noConversion"/>
  <conditionalFormatting sqref="C13">
    <cfRule type="cellIs" dxfId="147" priority="5" stopIfTrue="1" operator="greaterThan">
      <formula>$C$15*0.1</formula>
    </cfRule>
  </conditionalFormatting>
  <conditionalFormatting sqref="C24">
    <cfRule type="cellIs" dxfId="146" priority="8" stopIfTrue="1" operator="greaterThan">
      <formula>$C$26*0.1</formula>
    </cfRule>
  </conditionalFormatting>
  <conditionalFormatting sqref="C26">
    <cfRule type="cellIs" dxfId="145" priority="21" stopIfTrue="1" operator="greaterThan">
      <formula>$C$28</formula>
    </cfRule>
  </conditionalFormatting>
  <conditionalFormatting sqref="C27 C56">
    <cfRule type="cellIs" dxfId="144" priority="19" stopIfTrue="1" operator="lessThan">
      <formula>0</formula>
    </cfRule>
  </conditionalFormatting>
  <conditionalFormatting sqref="C42">
    <cfRule type="cellIs" dxfId="143" priority="11" stopIfTrue="1" operator="greaterThan">
      <formula>$C$44*0.1</formula>
    </cfRule>
  </conditionalFormatting>
  <conditionalFormatting sqref="C53">
    <cfRule type="cellIs" dxfId="142" priority="14" stopIfTrue="1" operator="greaterThan">
      <formula>$C$55*0.1</formula>
    </cfRule>
  </conditionalFormatting>
  <conditionalFormatting sqref="C55">
    <cfRule type="cellIs" dxfId="141" priority="18" stopIfTrue="1" operator="greaterThan">
      <formula>$C$57</formula>
    </cfRule>
  </conditionalFormatting>
  <conditionalFormatting sqref="D13">
    <cfRule type="cellIs" dxfId="140" priority="6" stopIfTrue="1" operator="greaterThan">
      <formula>$D$15*0.1</formula>
    </cfRule>
  </conditionalFormatting>
  <conditionalFormatting sqref="D24">
    <cfRule type="cellIs" dxfId="139" priority="9" stopIfTrue="1" operator="greaterThan">
      <formula>$D$26*0.1</formula>
    </cfRule>
  </conditionalFormatting>
  <conditionalFormatting sqref="D26">
    <cfRule type="cellIs" dxfId="138" priority="20" stopIfTrue="1" operator="greaterThan">
      <formula>$D$28</formula>
    </cfRule>
  </conditionalFormatting>
  <conditionalFormatting sqref="D27">
    <cfRule type="cellIs" dxfId="137" priority="3" stopIfTrue="1" operator="lessThan">
      <formula>0</formula>
    </cfRule>
  </conditionalFormatting>
  <conditionalFormatting sqref="D42">
    <cfRule type="cellIs" dxfId="136" priority="12" stopIfTrue="1" operator="greaterThan">
      <formula>$D$44*0.1</formula>
    </cfRule>
  </conditionalFormatting>
  <conditionalFormatting sqref="D53">
    <cfRule type="cellIs" dxfId="135" priority="15" stopIfTrue="1" operator="greaterThan">
      <formula>$D$55*0.1</formula>
    </cfRule>
  </conditionalFormatting>
  <conditionalFormatting sqref="D55">
    <cfRule type="cellIs" dxfId="134" priority="17" stopIfTrue="1" operator="greaterThan">
      <formula>$D$57</formula>
    </cfRule>
  </conditionalFormatting>
  <conditionalFormatting sqref="D56">
    <cfRule type="cellIs" dxfId="133" priority="4" stopIfTrue="1" operator="lessThan">
      <formula>0</formula>
    </cfRule>
  </conditionalFormatting>
  <conditionalFormatting sqref="E13">
    <cfRule type="cellIs" dxfId="132" priority="7" stopIfTrue="1" operator="greaterThan">
      <formula>$E$15*0.1</formula>
    </cfRule>
  </conditionalFormatting>
  <conditionalFormatting sqref="E24">
    <cfRule type="cellIs" dxfId="131" priority="10" stopIfTrue="1" operator="greaterThan">
      <formula>$E$26*0.1</formula>
    </cfRule>
  </conditionalFormatting>
  <conditionalFormatting sqref="E27:E28">
    <cfRule type="cellIs" dxfId="130" priority="2" stopIfTrue="1" operator="lessThan">
      <formula>0</formula>
    </cfRule>
  </conditionalFormatting>
  <conditionalFormatting sqref="E42">
    <cfRule type="cellIs" dxfId="129" priority="13" stopIfTrue="1" operator="greaterThan">
      <formula>$E$44*0.1</formula>
    </cfRule>
  </conditionalFormatting>
  <conditionalFormatting sqref="E53">
    <cfRule type="cellIs" dxfId="128" priority="16" stopIfTrue="1" operator="greaterThan">
      <formula>$E$55*0.1</formula>
    </cfRule>
  </conditionalFormatting>
  <conditionalFormatting sqref="E56:E57">
    <cfRule type="cellIs" dxfId="127" priority="1" stopIfTrue="1" operator="lessThan">
      <formula>0</formula>
    </cfRule>
  </conditionalFormatting>
  <pageMargins left="0.5" right="0.5" top="1" bottom="0.5" header="0.5" footer="0.5"/>
  <pageSetup scale="70" orientation="portrait" blackAndWhite="1" r:id="rId1"/>
  <headerFooter alignWithMargins="0">
    <oddHeader>&amp;RState of Kansas
City</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DD571"/>
    <pageSetUpPr fitToPage="1"/>
  </sheetPr>
  <dimension ref="B1:E64"/>
  <sheetViews>
    <sheetView topLeftCell="A26" zoomScaleNormal="100" workbookViewId="0">
      <selection activeCell="D20" sqref="D20"/>
    </sheetView>
  </sheetViews>
  <sheetFormatPr defaultColWidth="8.9140625" defaultRowHeight="15.5" x14ac:dyDescent="0.25"/>
  <cols>
    <col min="1" max="1" width="2.4140625" style="26" customWidth="1"/>
    <col min="2" max="2" width="31.08203125" style="26" customWidth="1"/>
    <col min="3" max="4" width="15.75" style="26" customWidth="1"/>
    <col min="5" max="5" width="16.08203125" style="26" customWidth="1"/>
    <col min="6" max="16384" width="8.9140625" style="26"/>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t="str">
        <f>inputPrYr!B43</f>
        <v>E911</v>
      </c>
      <c r="C5" s="137" t="str">
        <f>CONCATENATE("Actual for ",E1-2,"")</f>
        <v>Actual for 2024</v>
      </c>
      <c r="D5" s="137" t="str">
        <f>CONCATENATE("Estimate for ",E1-1,"")</f>
        <v>Estimate for 2025</v>
      </c>
      <c r="E5" s="122" t="str">
        <f>CONCATENATE("Year for ",E1,"")</f>
        <v>Year for 2026</v>
      </c>
    </row>
    <row r="6" spans="2:5" x14ac:dyDescent="0.25">
      <c r="B6" s="162" t="s">
        <v>133</v>
      </c>
      <c r="C6" s="39">
        <v>134101</v>
      </c>
      <c r="D6" s="140">
        <f>C26</f>
        <v>144507</v>
      </c>
      <c r="E6" s="140">
        <f>D26</f>
        <v>153033</v>
      </c>
    </row>
    <row r="7" spans="2:5" x14ac:dyDescent="0.25">
      <c r="B7" s="166" t="s">
        <v>135</v>
      </c>
      <c r="C7" s="52"/>
      <c r="D7" s="52"/>
      <c r="E7" s="52"/>
    </row>
    <row r="8" spans="2:5" x14ac:dyDescent="0.25">
      <c r="B8" s="182" t="s">
        <v>1119</v>
      </c>
      <c r="C8" s="39">
        <v>60975</v>
      </c>
      <c r="D8" s="39">
        <v>75000</v>
      </c>
      <c r="E8" s="39">
        <v>75000</v>
      </c>
    </row>
    <row r="9" spans="2:5" x14ac:dyDescent="0.25">
      <c r="B9" s="182"/>
      <c r="C9" s="39"/>
      <c r="D9" s="39"/>
      <c r="E9" s="39"/>
    </row>
    <row r="10" spans="2:5" x14ac:dyDescent="0.25">
      <c r="B10" s="182"/>
      <c r="C10" s="39"/>
      <c r="D10" s="39"/>
      <c r="E10" s="39"/>
    </row>
    <row r="11" spans="2:5" x14ac:dyDescent="0.25">
      <c r="B11" s="182"/>
      <c r="C11" s="39"/>
      <c r="D11" s="39"/>
      <c r="E11" s="39"/>
    </row>
    <row r="12" spans="2:5" x14ac:dyDescent="0.25">
      <c r="B12" s="171" t="s">
        <v>63</v>
      </c>
      <c r="C12" s="39">
        <v>7327</v>
      </c>
      <c r="D12" s="39">
        <v>5695</v>
      </c>
      <c r="E12" s="39">
        <v>5003</v>
      </c>
    </row>
    <row r="13" spans="2:5" x14ac:dyDescent="0.25">
      <c r="B13" s="102" t="s">
        <v>9</v>
      </c>
      <c r="C13" s="126"/>
      <c r="D13" s="126"/>
      <c r="E13" s="126"/>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68302</v>
      </c>
      <c r="D15" s="177">
        <f>SUM(D8:D13)</f>
        <v>80695</v>
      </c>
      <c r="E15" s="177">
        <f>SUM(E8:E13)</f>
        <v>80003</v>
      </c>
    </row>
    <row r="16" spans="2:5" x14ac:dyDescent="0.25">
      <c r="B16" s="174" t="s">
        <v>65</v>
      </c>
      <c r="C16" s="177">
        <f>C6+C15</f>
        <v>202403</v>
      </c>
      <c r="D16" s="177">
        <f>D6+D15</f>
        <v>225202</v>
      </c>
      <c r="E16" s="177">
        <f>E6+E15</f>
        <v>233036</v>
      </c>
    </row>
    <row r="17" spans="2:5" x14ac:dyDescent="0.25">
      <c r="B17" s="93" t="s">
        <v>67</v>
      </c>
      <c r="C17" s="140"/>
      <c r="D17" s="140"/>
      <c r="E17" s="140"/>
    </row>
    <row r="18" spans="2:5" x14ac:dyDescent="0.25">
      <c r="B18" s="182" t="s">
        <v>1066</v>
      </c>
      <c r="C18" s="39">
        <v>164</v>
      </c>
      <c r="D18" s="39">
        <v>500</v>
      </c>
      <c r="E18" s="39">
        <v>500</v>
      </c>
    </row>
    <row r="19" spans="2:5" x14ac:dyDescent="0.25">
      <c r="B19" s="182" t="s">
        <v>1103</v>
      </c>
      <c r="C19" s="39">
        <v>55570</v>
      </c>
      <c r="D19" s="39">
        <v>65069</v>
      </c>
      <c r="E19" s="39">
        <v>86366</v>
      </c>
    </row>
    <row r="20" spans="2:5" x14ac:dyDescent="0.25">
      <c r="B20" s="182" t="s">
        <v>1067</v>
      </c>
      <c r="C20" s="39">
        <v>2162</v>
      </c>
      <c r="D20" s="39">
        <v>6600</v>
      </c>
      <c r="E20" s="39">
        <v>8000</v>
      </c>
    </row>
    <row r="21" spans="2:5" x14ac:dyDescent="0.25">
      <c r="B21" s="182"/>
      <c r="C21" s="39"/>
      <c r="D21" s="39"/>
      <c r="E21" s="39"/>
    </row>
    <row r="22" spans="2:5" x14ac:dyDescent="0.25">
      <c r="B22" s="183" t="str">
        <f>CONCATENATE("Cash Reserve (",E1," column)")</f>
        <v>Cash Reserve (2026 column)</v>
      </c>
      <c r="C22" s="39"/>
      <c r="D22" s="39"/>
      <c r="E22" s="39"/>
    </row>
    <row r="23" spans="2:5" x14ac:dyDescent="0.25">
      <c r="B23" s="183" t="s">
        <v>9</v>
      </c>
      <c r="C23" s="39"/>
      <c r="D23" s="168"/>
      <c r="E23" s="168"/>
    </row>
    <row r="24" spans="2:5" x14ac:dyDescent="0.25">
      <c r="B24" s="183" t="s">
        <v>351</v>
      </c>
      <c r="C24" s="204" t="str">
        <f>IF(C25*0.1&lt;C23,"Exceed 10% Rule","")</f>
        <v/>
      </c>
      <c r="D24" s="173" t="str">
        <f>IF(D25*0.1&lt;D23,"Exceed 10% Rule","")</f>
        <v/>
      </c>
      <c r="E24" s="173" t="str">
        <f>IF(E25*0.1&lt;E23,"Exceed 10% Rule","")</f>
        <v/>
      </c>
    </row>
    <row r="25" spans="2:5" x14ac:dyDescent="0.25">
      <c r="B25" s="174" t="s">
        <v>71</v>
      </c>
      <c r="C25" s="177">
        <f>SUM(C18:C23)</f>
        <v>57896</v>
      </c>
      <c r="D25" s="177">
        <f>SUM(D18:D23)</f>
        <v>72169</v>
      </c>
      <c r="E25" s="177">
        <f>SUM(E18:E23)</f>
        <v>94866</v>
      </c>
    </row>
    <row r="26" spans="2:5" x14ac:dyDescent="0.25">
      <c r="B26" s="93" t="s">
        <v>134</v>
      </c>
      <c r="C26" s="50">
        <f>C16-C25</f>
        <v>144507</v>
      </c>
      <c r="D26" s="50">
        <f>D16-D25</f>
        <v>153033</v>
      </c>
      <c r="E26" s="50">
        <f>E16-E25</f>
        <v>138170</v>
      </c>
    </row>
    <row r="27" spans="2:5" x14ac:dyDescent="0.25">
      <c r="B27" s="108" t="str">
        <f>CONCATENATE("",E1-2,"/",E1-1,"/",E1," Budget Authority Amount:")</f>
        <v>2024/2025/2026 Budget Authority Amount:</v>
      </c>
      <c r="C27" s="447">
        <f>inputOth!B84</f>
        <v>71373</v>
      </c>
      <c r="D27" s="447">
        <f>inputPrYr!D43</f>
        <v>68698</v>
      </c>
      <c r="E27" s="459">
        <f>E25</f>
        <v>94866</v>
      </c>
    </row>
    <row r="28" spans="2:5" x14ac:dyDescent="0.25">
      <c r="B28" s="80"/>
      <c r="C28" s="185" t="str">
        <f>IF(C25&gt;C27,"See Tab A","")</f>
        <v/>
      </c>
      <c r="D28" s="185" t="str">
        <f>IF(D25&gt;D27,"See Tab C","")</f>
        <v>See Tab C</v>
      </c>
      <c r="E28" s="460" t="str">
        <f>IF(E26&lt;0,"See Tab E","")</f>
        <v/>
      </c>
    </row>
    <row r="29" spans="2:5" x14ac:dyDescent="0.25">
      <c r="B29" s="80"/>
      <c r="C29" s="185" t="str">
        <f>IF(C26&lt;0,"See Tab B","")</f>
        <v/>
      </c>
      <c r="D29" s="185" t="str">
        <f>IF(D26&lt;0,"See Tab D","")</f>
        <v/>
      </c>
      <c r="E29" s="56"/>
    </row>
    <row r="30" spans="2:5" x14ac:dyDescent="0.25">
      <c r="B30" s="28"/>
      <c r="C30" s="56"/>
      <c r="D30" s="56"/>
      <c r="E30" s="56"/>
    </row>
    <row r="31" spans="2:5" x14ac:dyDescent="0.25">
      <c r="B31" s="29" t="s">
        <v>57</v>
      </c>
      <c r="C31" s="199"/>
      <c r="D31" s="199"/>
      <c r="E31" s="199"/>
    </row>
    <row r="32" spans="2:5" x14ac:dyDescent="0.25">
      <c r="B32" s="28"/>
      <c r="C32" s="443" t="s">
        <v>475</v>
      </c>
      <c r="D32" s="444" t="s">
        <v>476</v>
      </c>
      <c r="E32" s="87" t="s">
        <v>477</v>
      </c>
    </row>
    <row r="33" spans="2:5" x14ac:dyDescent="0.25">
      <c r="B33" s="334" t="str">
        <f>inputPrYr!B44</f>
        <v>Colby Land Bank</v>
      </c>
      <c r="C33" s="137" t="str">
        <f>CONCATENATE("Actual for ",$E$1-2,"")</f>
        <v>Actual for 2024</v>
      </c>
      <c r="D33" s="137" t="str">
        <f>CONCATENATE("Estimate for ",$E$1-1,"")</f>
        <v>Estimate for 2025</v>
      </c>
      <c r="E33" s="122" t="str">
        <f>CONCATENATE("Year for ",$E$1,"")</f>
        <v>Year for 2026</v>
      </c>
    </row>
    <row r="34" spans="2:5" x14ac:dyDescent="0.25">
      <c r="B34" s="162" t="s">
        <v>133</v>
      </c>
      <c r="C34" s="39">
        <v>0</v>
      </c>
      <c r="D34" s="140">
        <f>C57</f>
        <v>0</v>
      </c>
      <c r="E34" s="140">
        <f>D57</f>
        <v>4630</v>
      </c>
    </row>
    <row r="35" spans="2:5" x14ac:dyDescent="0.25">
      <c r="B35" s="166" t="s">
        <v>135</v>
      </c>
      <c r="C35" s="52"/>
      <c r="D35" s="52"/>
      <c r="E35" s="52"/>
    </row>
    <row r="36" spans="2:5" x14ac:dyDescent="0.25">
      <c r="B36" s="182"/>
      <c r="C36" s="39"/>
      <c r="D36" s="39"/>
      <c r="E36" s="39"/>
    </row>
    <row r="37" spans="2:5" x14ac:dyDescent="0.25">
      <c r="B37" s="182" t="s">
        <v>1165</v>
      </c>
      <c r="C37" s="39"/>
      <c r="D37" s="39">
        <v>5000</v>
      </c>
      <c r="E37" s="39">
        <v>0</v>
      </c>
    </row>
    <row r="38" spans="2:5" x14ac:dyDescent="0.25">
      <c r="B38" s="182" t="s">
        <v>1167</v>
      </c>
      <c r="C38" s="39"/>
      <c r="D38" s="39">
        <v>50000</v>
      </c>
      <c r="E38" s="39">
        <v>50000</v>
      </c>
    </row>
    <row r="39" spans="2:5" x14ac:dyDescent="0.25">
      <c r="B39" s="182" t="s">
        <v>1166</v>
      </c>
      <c r="C39" s="39"/>
      <c r="D39" s="39">
        <v>50000</v>
      </c>
      <c r="E39" s="39">
        <v>50000</v>
      </c>
    </row>
    <row r="40" spans="2:5" x14ac:dyDescent="0.25">
      <c r="B40" s="171" t="s">
        <v>63</v>
      </c>
      <c r="C40" s="39"/>
      <c r="D40" s="39">
        <v>130</v>
      </c>
      <c r="E40" s="39">
        <v>180</v>
      </c>
    </row>
    <row r="41" spans="2:5" x14ac:dyDescent="0.25">
      <c r="B41" s="102" t="s">
        <v>9</v>
      </c>
      <c r="C41" s="39"/>
      <c r="D41" s="168"/>
      <c r="E41" s="168"/>
    </row>
    <row r="42" spans="2:5" x14ac:dyDescent="0.25">
      <c r="B42" s="162" t="s">
        <v>350</v>
      </c>
      <c r="C42" s="204" t="str">
        <f>IF(C43*0.1&lt;C41,"Exceed 10% Rule","")</f>
        <v/>
      </c>
      <c r="D42" s="173" t="str">
        <f>IF(D43*0.1&lt;D41,"Exceed 10% Rule","")</f>
        <v/>
      </c>
      <c r="E42" s="173" t="str">
        <f>IF(E43*0.1&lt;E41,"Exceed 10% Rule","")</f>
        <v/>
      </c>
    </row>
    <row r="43" spans="2:5" x14ac:dyDescent="0.25">
      <c r="B43" s="174" t="s">
        <v>64</v>
      </c>
      <c r="C43" s="177">
        <f>SUM(C36:C41)</f>
        <v>0</v>
      </c>
      <c r="D43" s="177">
        <f>SUM(D36:D41)</f>
        <v>105130</v>
      </c>
      <c r="E43" s="177">
        <f>SUM(E36:E41)</f>
        <v>100180</v>
      </c>
    </row>
    <row r="44" spans="2:5" x14ac:dyDescent="0.25">
      <c r="B44" s="174" t="s">
        <v>65</v>
      </c>
      <c r="C44" s="177">
        <f>C34+C43</f>
        <v>0</v>
      </c>
      <c r="D44" s="177">
        <f>D34+D43</f>
        <v>105130</v>
      </c>
      <c r="E44" s="177">
        <f>E34+E43</f>
        <v>104810</v>
      </c>
    </row>
    <row r="45" spans="2:5" x14ac:dyDescent="0.25">
      <c r="B45" s="93" t="s">
        <v>67</v>
      </c>
      <c r="C45" s="140"/>
      <c r="D45" s="140"/>
      <c r="E45" s="140"/>
    </row>
    <row r="46" spans="2:5" x14ac:dyDescent="0.25">
      <c r="B46" s="182" t="s">
        <v>1168</v>
      </c>
      <c r="C46" s="39"/>
      <c r="D46" s="39">
        <v>7500</v>
      </c>
      <c r="E46" s="39">
        <v>7500</v>
      </c>
    </row>
    <row r="47" spans="2:5" x14ac:dyDescent="0.25">
      <c r="B47" s="182" t="s">
        <v>1066</v>
      </c>
      <c r="C47" s="39"/>
      <c r="D47" s="39">
        <v>100</v>
      </c>
      <c r="E47" s="39">
        <v>100</v>
      </c>
    </row>
    <row r="48" spans="2:5" x14ac:dyDescent="0.25">
      <c r="B48" s="182" t="s">
        <v>1103</v>
      </c>
      <c r="C48" s="39"/>
      <c r="D48" s="39">
        <v>7200</v>
      </c>
      <c r="E48" s="39">
        <v>6700</v>
      </c>
    </row>
    <row r="49" spans="2:5" x14ac:dyDescent="0.25">
      <c r="B49" s="182" t="s">
        <v>1067</v>
      </c>
      <c r="C49" s="39"/>
      <c r="D49" s="39">
        <v>35700</v>
      </c>
      <c r="E49" s="39">
        <v>35700</v>
      </c>
    </row>
    <row r="50" spans="2:5" x14ac:dyDescent="0.25">
      <c r="B50" s="182" t="s">
        <v>1169</v>
      </c>
      <c r="C50" s="39"/>
      <c r="D50" s="39">
        <v>50000</v>
      </c>
      <c r="E50" s="39">
        <v>50000</v>
      </c>
    </row>
    <row r="51" spans="2:5" x14ac:dyDescent="0.25">
      <c r="B51" s="182"/>
      <c r="C51" s="39"/>
      <c r="D51" s="39"/>
      <c r="E51" s="39"/>
    </row>
    <row r="52" spans="2:5" x14ac:dyDescent="0.25">
      <c r="B52" s="182"/>
      <c r="C52" s="39"/>
      <c r="D52" s="39"/>
      <c r="E52" s="39"/>
    </row>
    <row r="53" spans="2:5" x14ac:dyDescent="0.25">
      <c r="B53" s="183" t="str">
        <f>CONCATENATE("Cash Reserve (",E1," column)")</f>
        <v>Cash Reserve (2026 column)</v>
      </c>
      <c r="C53" s="39"/>
      <c r="D53" s="39"/>
      <c r="E53" s="39"/>
    </row>
    <row r="54" spans="2:5" x14ac:dyDescent="0.25">
      <c r="B54" s="183" t="s">
        <v>9</v>
      </c>
      <c r="C54" s="39"/>
      <c r="D54" s="168"/>
      <c r="E54" s="168"/>
    </row>
    <row r="55" spans="2:5" x14ac:dyDescent="0.25">
      <c r="B55" s="183" t="s">
        <v>351</v>
      </c>
      <c r="C55" s="204" t="str">
        <f>IF(C56*0.1&lt;C54,"Exceed 10% Rule","")</f>
        <v/>
      </c>
      <c r="D55" s="173" t="str">
        <f>IF(D56*0.1&lt;D54,"Exceed 10% Rule","")</f>
        <v/>
      </c>
      <c r="E55" s="173" t="str">
        <f>IF(E56*0.1&lt;E54,"Exceed 10% Rule","")</f>
        <v/>
      </c>
    </row>
    <row r="56" spans="2:5" x14ac:dyDescent="0.25">
      <c r="B56" s="174" t="s">
        <v>71</v>
      </c>
      <c r="C56" s="177">
        <f>SUM(C46:C54)</f>
        <v>0</v>
      </c>
      <c r="D56" s="177">
        <f>SUM(D46:D54)</f>
        <v>100500</v>
      </c>
      <c r="E56" s="177">
        <f>SUM(E46:E54)</f>
        <v>100000</v>
      </c>
    </row>
    <row r="57" spans="2:5" x14ac:dyDescent="0.25">
      <c r="B57" s="93" t="s">
        <v>134</v>
      </c>
      <c r="C57" s="50">
        <f>C44-C56</f>
        <v>0</v>
      </c>
      <c r="D57" s="50">
        <f>D44-D56</f>
        <v>4630</v>
      </c>
      <c r="E57" s="50">
        <f>E44-E56</f>
        <v>4810</v>
      </c>
    </row>
    <row r="58" spans="2:5" x14ac:dyDescent="0.25">
      <c r="B58" s="108" t="str">
        <f>CONCATENATE("",E1-2,"/",E1-1,"/",E1," Budget Authority Amount:")</f>
        <v>2024/2025/2026 Budget Authority Amount:</v>
      </c>
      <c r="C58" s="447">
        <f>inputOth!B85</f>
        <v>0</v>
      </c>
      <c r="D58" s="447">
        <f>inputPrYr!D44</f>
        <v>0</v>
      </c>
      <c r="E58" s="459">
        <f>E56</f>
        <v>100000</v>
      </c>
    </row>
    <row r="59" spans="2:5" x14ac:dyDescent="0.25">
      <c r="B59" s="80"/>
      <c r="C59" s="185" t="str">
        <f>IF(C56&gt;C58,"See Tab A","")</f>
        <v/>
      </c>
      <c r="D59" s="185" t="str">
        <f>IF(D56&gt;D58,"See Tab C","")</f>
        <v>See Tab C</v>
      </c>
      <c r="E59" s="460" t="str">
        <f>IF(E57&lt;0,"See Tab E","")</f>
        <v/>
      </c>
    </row>
    <row r="60" spans="2:5" x14ac:dyDescent="0.25">
      <c r="B60" s="542" t="s">
        <v>535</v>
      </c>
      <c r="C60" s="529" t="str">
        <f>IF(C57&lt;0,"See Tab B","")</f>
        <v/>
      </c>
      <c r="D60" s="529" t="str">
        <f>IF(D57&lt;0,"See Tab D","")</f>
        <v/>
      </c>
      <c r="E60" s="512"/>
    </row>
    <row r="61" spans="2:5" x14ac:dyDescent="0.25">
      <c r="B61" s="530" t="s">
        <v>1170</v>
      </c>
      <c r="C61" s="185"/>
      <c r="D61" s="185"/>
      <c r="E61" s="405"/>
    </row>
    <row r="62" spans="2:5" x14ac:dyDescent="0.25">
      <c r="B62" s="531"/>
      <c r="C62" s="532"/>
      <c r="D62" s="532"/>
      <c r="E62" s="49"/>
    </row>
    <row r="63" spans="2:5" x14ac:dyDescent="0.25">
      <c r="B63" s="28"/>
      <c r="C63" s="28"/>
      <c r="D63" s="28"/>
      <c r="E63" s="28"/>
    </row>
    <row r="64" spans="2:5" x14ac:dyDescent="0.25">
      <c r="B64" s="274" t="s">
        <v>74</v>
      </c>
      <c r="C64" s="465">
        <v>16</v>
      </c>
      <c r="D64" s="28"/>
      <c r="E64" s="28"/>
    </row>
  </sheetData>
  <phoneticPr fontId="0" type="noConversion"/>
  <conditionalFormatting sqref="C13">
    <cfRule type="cellIs" dxfId="126" priority="8" stopIfTrue="1" operator="greaterThan">
      <formula>$C$15*0.1</formula>
    </cfRule>
  </conditionalFormatting>
  <conditionalFormatting sqref="C23">
    <cfRule type="cellIs" dxfId="125" priority="11" stopIfTrue="1" operator="greaterThan">
      <formula>$C$25*0.1</formula>
    </cfRule>
  </conditionalFormatting>
  <conditionalFormatting sqref="C25">
    <cfRule type="cellIs" dxfId="124" priority="24" stopIfTrue="1" operator="greaterThan">
      <formula>$C$27</formula>
    </cfRule>
  </conditionalFormatting>
  <conditionalFormatting sqref="C26 C57">
    <cfRule type="cellIs" dxfId="123" priority="22" stopIfTrue="1" operator="lessThan">
      <formula>0</formula>
    </cfRule>
  </conditionalFormatting>
  <conditionalFormatting sqref="C41">
    <cfRule type="cellIs" dxfId="122" priority="14" stopIfTrue="1" operator="greaterThan">
      <formula>$C$43*0.1</formula>
    </cfRule>
  </conditionalFormatting>
  <conditionalFormatting sqref="C54">
    <cfRule type="cellIs" dxfId="121" priority="17" stopIfTrue="1" operator="greaterThan">
      <formula>$C$56*0.1</formula>
    </cfRule>
  </conditionalFormatting>
  <conditionalFormatting sqref="C56">
    <cfRule type="cellIs" dxfId="120" priority="21" stopIfTrue="1" operator="greaterThan">
      <formula>$C$58</formula>
    </cfRule>
  </conditionalFormatting>
  <conditionalFormatting sqref="D13">
    <cfRule type="cellIs" dxfId="119" priority="9" stopIfTrue="1" operator="greaterThan">
      <formula>$D$15*0.1</formula>
    </cfRule>
  </conditionalFormatting>
  <conditionalFormatting sqref="D23">
    <cfRule type="cellIs" dxfId="118" priority="12" stopIfTrue="1" operator="greaterThan">
      <formula>$D$25*0.1</formula>
    </cfRule>
  </conditionalFormatting>
  <conditionalFormatting sqref="D25">
    <cfRule type="cellIs" dxfId="117" priority="3" stopIfTrue="1" operator="greaterThan">
      <formula>$D$27</formula>
    </cfRule>
  </conditionalFormatting>
  <conditionalFormatting sqref="D26">
    <cfRule type="cellIs" dxfId="116" priority="5" stopIfTrue="1" operator="lessThan">
      <formula>0</formula>
    </cfRule>
  </conditionalFormatting>
  <conditionalFormatting sqref="D41">
    <cfRule type="cellIs" dxfId="115" priority="15" stopIfTrue="1" operator="greaterThan">
      <formula>$D$43*0.1</formula>
    </cfRule>
  </conditionalFormatting>
  <conditionalFormatting sqref="D54">
    <cfRule type="cellIs" dxfId="114" priority="18" stopIfTrue="1" operator="greaterThan">
      <formula>$D$56*0.1</formula>
    </cfRule>
  </conditionalFormatting>
  <conditionalFormatting sqref="D56">
    <cfRule type="cellIs" dxfId="113" priority="20" stopIfTrue="1" operator="greaterThan">
      <formula>$D$58</formula>
    </cfRule>
  </conditionalFormatting>
  <conditionalFormatting sqref="D57">
    <cfRule type="cellIs" dxfId="112" priority="7" stopIfTrue="1" operator="lessThan">
      <formula>0</formula>
    </cfRule>
  </conditionalFormatting>
  <conditionalFormatting sqref="E13">
    <cfRule type="cellIs" dxfId="111" priority="10" stopIfTrue="1" operator="greaterThan">
      <formula>$E$15*0.1</formula>
    </cfRule>
  </conditionalFormatting>
  <conditionalFormatting sqref="E23">
    <cfRule type="cellIs" dxfId="110" priority="13" stopIfTrue="1" operator="greaterThan">
      <formula>$E$25*0.1</formula>
    </cfRule>
  </conditionalFormatting>
  <conditionalFormatting sqref="E26:E27">
    <cfRule type="cellIs" dxfId="109" priority="2" stopIfTrue="1" operator="lessThan">
      <formula>0</formula>
    </cfRule>
  </conditionalFormatting>
  <conditionalFormatting sqref="E41">
    <cfRule type="cellIs" dxfId="108" priority="16" stopIfTrue="1" operator="greaterThan">
      <formula>$E$43*0.1</formula>
    </cfRule>
  </conditionalFormatting>
  <conditionalFormatting sqref="E54">
    <cfRule type="cellIs" dxfId="107" priority="19" stopIfTrue="1" operator="greaterThan">
      <formula>$E$56*0.1</formula>
    </cfRule>
  </conditionalFormatting>
  <conditionalFormatting sqref="E57:E58">
    <cfRule type="cellIs" dxfId="106" priority="1" stopIfTrue="1" operator="lessThan">
      <formula>0</formula>
    </cfRule>
  </conditionalFormatting>
  <pageMargins left="0.5" right="0.5" top="1" bottom="0.5" header="0.5" footer="0.5"/>
  <pageSetup scale="68"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B0F0"/>
    <pageSetUpPr fitToPage="1"/>
  </sheetPr>
  <dimension ref="B1:E63"/>
  <sheetViews>
    <sheetView workbookViewId="0">
      <selection activeCell="B2" sqref="B2"/>
    </sheetView>
  </sheetViews>
  <sheetFormatPr defaultColWidth="8.9140625" defaultRowHeight="15.5" x14ac:dyDescent="0.25"/>
  <cols>
    <col min="1" max="1" width="2.4140625" style="24" customWidth="1"/>
    <col min="2" max="2" width="31.08203125" style="24" customWidth="1"/>
    <col min="3" max="4" width="15.75" style="24" customWidth="1"/>
    <col min="5" max="5" width="16.08203125" style="24" customWidth="1"/>
    <col min="6" max="16384" width="8.9140625" style="24"/>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f>inputPrYr!B45</f>
        <v>0</v>
      </c>
      <c r="C5" s="137" t="str">
        <f>CONCATENATE("Actual for ",E1-2,"")</f>
        <v>Actual for 2024</v>
      </c>
      <c r="D5" s="137" t="str">
        <f>CONCATENATE("Estimate for ",E1-1,"")</f>
        <v>Estimate for 2025</v>
      </c>
      <c r="E5" s="122" t="str">
        <f>CONCATENATE("Year for ",E1,"")</f>
        <v>Year for 2026</v>
      </c>
    </row>
    <row r="6" spans="2:5" x14ac:dyDescent="0.25">
      <c r="B6" s="162" t="s">
        <v>133</v>
      </c>
      <c r="C6" s="39"/>
      <c r="D6" s="140">
        <f>C27</f>
        <v>0</v>
      </c>
      <c r="E6" s="140">
        <f>D27</f>
        <v>0</v>
      </c>
    </row>
    <row r="7" spans="2:5" s="26" customFormat="1" x14ac:dyDescent="0.25">
      <c r="B7" s="166" t="s">
        <v>135</v>
      </c>
      <c r="C7" s="52"/>
      <c r="D7" s="52"/>
      <c r="E7" s="52"/>
    </row>
    <row r="8" spans="2:5" x14ac:dyDescent="0.25">
      <c r="B8" s="182"/>
      <c r="C8" s="39"/>
      <c r="D8" s="39"/>
      <c r="E8" s="39"/>
    </row>
    <row r="9" spans="2:5" x14ac:dyDescent="0.25">
      <c r="B9" s="182"/>
      <c r="C9" s="39"/>
      <c r="D9" s="39"/>
      <c r="E9" s="39"/>
    </row>
    <row r="10" spans="2:5" x14ac:dyDescent="0.25">
      <c r="B10" s="182"/>
      <c r="C10" s="39"/>
      <c r="D10" s="39"/>
      <c r="E10" s="39"/>
    </row>
    <row r="11" spans="2:5" x14ac:dyDescent="0.25">
      <c r="B11" s="182"/>
      <c r="C11" s="39"/>
      <c r="D11" s="39"/>
      <c r="E11" s="39"/>
    </row>
    <row r="12" spans="2:5" x14ac:dyDescent="0.25">
      <c r="B12" s="171" t="s">
        <v>63</v>
      </c>
      <c r="C12" s="39"/>
      <c r="D12" s="39"/>
      <c r="E12" s="39"/>
    </row>
    <row r="13" spans="2:5" x14ac:dyDescent="0.25">
      <c r="B13" s="102" t="s">
        <v>9</v>
      </c>
      <c r="C13" s="39"/>
      <c r="D13" s="168"/>
      <c r="E13" s="168"/>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0</v>
      </c>
      <c r="D15" s="177">
        <f>SUM(D8:D13)</f>
        <v>0</v>
      </c>
      <c r="E15" s="177">
        <f>SUM(E8:E13)</f>
        <v>0</v>
      </c>
    </row>
    <row r="16" spans="2:5" x14ac:dyDescent="0.25">
      <c r="B16" s="174" t="s">
        <v>65</v>
      </c>
      <c r="C16" s="177">
        <f>C6+C15</f>
        <v>0</v>
      </c>
      <c r="D16" s="177">
        <f>D6+D15</f>
        <v>0</v>
      </c>
      <c r="E16" s="177">
        <f>E6+E15</f>
        <v>0</v>
      </c>
    </row>
    <row r="17" spans="2:5" x14ac:dyDescent="0.25">
      <c r="B17" s="93" t="s">
        <v>67</v>
      </c>
      <c r="C17" s="140"/>
      <c r="D17" s="140"/>
      <c r="E17" s="140"/>
    </row>
    <row r="18" spans="2:5" x14ac:dyDescent="0.25">
      <c r="B18" s="182"/>
      <c r="C18" s="39"/>
      <c r="D18" s="39"/>
      <c r="E18" s="39"/>
    </row>
    <row r="19" spans="2:5" x14ac:dyDescent="0.25">
      <c r="B19" s="182"/>
      <c r="C19" s="39"/>
      <c r="D19" s="39"/>
      <c r="E19" s="39"/>
    </row>
    <row r="20" spans="2:5" x14ac:dyDescent="0.25">
      <c r="B20" s="182"/>
      <c r="C20" s="39"/>
      <c r="D20" s="39"/>
      <c r="E20" s="39"/>
    </row>
    <row r="21" spans="2:5" x14ac:dyDescent="0.25">
      <c r="B21" s="182"/>
      <c r="C21" s="39"/>
      <c r="D21" s="39"/>
      <c r="E21" s="39"/>
    </row>
    <row r="22" spans="2:5" x14ac:dyDescent="0.25">
      <c r="B22" s="182"/>
      <c r="C22" s="39"/>
      <c r="D22" s="39"/>
      <c r="E22" s="39"/>
    </row>
    <row r="23" spans="2:5" x14ac:dyDescent="0.25">
      <c r="B23" s="183" t="str">
        <f>CONCATENATE("Cash Reserve (",E1," column)")</f>
        <v>Cash Reserve (2026 column)</v>
      </c>
      <c r="C23" s="39"/>
      <c r="D23" s="39"/>
      <c r="E23" s="39"/>
    </row>
    <row r="24" spans="2:5" x14ac:dyDescent="0.25">
      <c r="B24" s="183" t="s">
        <v>9</v>
      </c>
      <c r="C24" s="39"/>
      <c r="D24" s="168"/>
      <c r="E24" s="168"/>
    </row>
    <row r="25" spans="2:5" x14ac:dyDescent="0.25">
      <c r="B25" s="183" t="s">
        <v>351</v>
      </c>
      <c r="C25" s="204" t="str">
        <f>IF(C26*0.1&lt;C24,"Exceed 10% Rule","")</f>
        <v/>
      </c>
      <c r="D25" s="173" t="str">
        <f>IF(D26*0.1&lt;D24,"Exceed 10% Rule","")</f>
        <v/>
      </c>
      <c r="E25" s="173" t="str">
        <f>IF(E26*0.1&lt;E24,"Exceed 10% Rule","")</f>
        <v/>
      </c>
    </row>
    <row r="26" spans="2:5" x14ac:dyDescent="0.25">
      <c r="B26" s="174" t="s">
        <v>71</v>
      </c>
      <c r="C26" s="177">
        <f>SUM(C18:C24)</f>
        <v>0</v>
      </c>
      <c r="D26" s="177">
        <f>SUM(D18:D24)</f>
        <v>0</v>
      </c>
      <c r="E26" s="177">
        <f>SUM(E18:E24)</f>
        <v>0</v>
      </c>
    </row>
    <row r="27" spans="2:5" x14ac:dyDescent="0.25">
      <c r="B27" s="93" t="s">
        <v>134</v>
      </c>
      <c r="C27" s="50">
        <f>C16-C26</f>
        <v>0</v>
      </c>
      <c r="D27" s="50">
        <f>D16-D26</f>
        <v>0</v>
      </c>
      <c r="E27" s="50">
        <f>E16-E26</f>
        <v>0</v>
      </c>
    </row>
    <row r="28" spans="2:5" x14ac:dyDescent="0.25">
      <c r="B28" s="108" t="str">
        <f>CONCATENATE("",E1-2,"/",E1-1,"/",E1," Budget Authority Amount:")</f>
        <v>2024/2025/2026 Budget Authority Amount:</v>
      </c>
      <c r="C28" s="447">
        <f>inputOth!B86</f>
        <v>0</v>
      </c>
      <c r="D28" s="447">
        <f>inputPrYr!D45</f>
        <v>0</v>
      </c>
      <c r="E28" s="459">
        <f>E26</f>
        <v>0</v>
      </c>
    </row>
    <row r="29" spans="2:5" x14ac:dyDescent="0.25">
      <c r="B29" s="80"/>
      <c r="C29" s="185" t="str">
        <f>IF(C26&gt;C28,"See Tab A","")</f>
        <v/>
      </c>
      <c r="D29" s="185" t="str">
        <f>IF(D26&gt;D28,"See Tab C","")</f>
        <v/>
      </c>
      <c r="E29" s="460" t="str">
        <f>IF(E27&lt;0,"See Tab E","")</f>
        <v/>
      </c>
    </row>
    <row r="30" spans="2:5" x14ac:dyDescent="0.25">
      <c r="B30" s="80"/>
      <c r="C30" s="185" t="str">
        <f>IF(C27&lt;0,"See Tab B","")</f>
        <v/>
      </c>
      <c r="D30" s="185" t="str">
        <f>IF(D27&lt;0,"See Tab D","")</f>
        <v/>
      </c>
      <c r="E30" s="56"/>
    </row>
    <row r="31" spans="2:5" x14ac:dyDescent="0.25">
      <c r="B31" s="28"/>
      <c r="C31" s="56"/>
      <c r="D31" s="56"/>
      <c r="E31" s="56"/>
    </row>
    <row r="32" spans="2:5" x14ac:dyDescent="0.25">
      <c r="B32" s="29" t="s">
        <v>57</v>
      </c>
      <c r="C32" s="199"/>
      <c r="D32" s="199"/>
      <c r="E32" s="199"/>
    </row>
    <row r="33" spans="2:5" x14ac:dyDescent="0.25">
      <c r="B33" s="28"/>
      <c r="C33" s="443" t="s">
        <v>475</v>
      </c>
      <c r="D33" s="444" t="s">
        <v>476</v>
      </c>
      <c r="E33" s="87" t="s">
        <v>477</v>
      </c>
    </row>
    <row r="34" spans="2:5" x14ac:dyDescent="0.25">
      <c r="B34" s="334">
        <f>inputPrYr!B46</f>
        <v>0</v>
      </c>
      <c r="C34" s="137" t="str">
        <f>CONCATENATE("Actual for ",$E$1-2,"")</f>
        <v>Actual for 2024</v>
      </c>
      <c r="D34" s="137" t="str">
        <f>CONCATENATE("Estimate for ",$E$1-1,"")</f>
        <v>Estimate for 2025</v>
      </c>
      <c r="E34" s="122" t="str">
        <f>CONCATENATE("Year for ",$E$1,"")</f>
        <v>Year for 2026</v>
      </c>
    </row>
    <row r="35" spans="2:5" x14ac:dyDescent="0.25">
      <c r="B35" s="162" t="s">
        <v>133</v>
      </c>
      <c r="C35" s="39"/>
      <c r="D35" s="140">
        <f>C56</f>
        <v>0</v>
      </c>
      <c r="E35" s="140">
        <f>D56</f>
        <v>0</v>
      </c>
    </row>
    <row r="36" spans="2:5" s="26" customFormat="1" x14ac:dyDescent="0.25">
      <c r="B36" s="166" t="s">
        <v>135</v>
      </c>
      <c r="C36" s="52"/>
      <c r="D36" s="52"/>
      <c r="E36" s="52"/>
    </row>
    <row r="37" spans="2:5" x14ac:dyDescent="0.25">
      <c r="B37" s="182"/>
      <c r="C37" s="39"/>
      <c r="D37" s="39"/>
      <c r="E37" s="39"/>
    </row>
    <row r="38" spans="2:5" x14ac:dyDescent="0.25">
      <c r="B38" s="182"/>
      <c r="C38" s="39"/>
      <c r="D38" s="39"/>
      <c r="E38" s="39"/>
    </row>
    <row r="39" spans="2:5" x14ac:dyDescent="0.25">
      <c r="B39" s="182"/>
      <c r="C39" s="39"/>
      <c r="D39" s="39"/>
      <c r="E39" s="39"/>
    </row>
    <row r="40" spans="2:5" x14ac:dyDescent="0.25">
      <c r="B40" s="182"/>
      <c r="C40" s="39"/>
      <c r="D40" s="39"/>
      <c r="E40" s="39"/>
    </row>
    <row r="41" spans="2:5" x14ac:dyDescent="0.25">
      <c r="B41" s="171" t="s">
        <v>63</v>
      </c>
      <c r="C41" s="39"/>
      <c r="D41" s="39"/>
      <c r="E41" s="39"/>
    </row>
    <row r="42" spans="2:5" x14ac:dyDescent="0.25">
      <c r="B42" s="102" t="s">
        <v>9</v>
      </c>
      <c r="C42" s="39"/>
      <c r="D42" s="168"/>
      <c r="E42" s="168"/>
    </row>
    <row r="43" spans="2:5" x14ac:dyDescent="0.25">
      <c r="B43" s="162" t="s">
        <v>350</v>
      </c>
      <c r="C43" s="204" t="str">
        <f>IF(C44*0.1&lt;C42,"Exceed 10% Rule","")</f>
        <v/>
      </c>
      <c r="D43" s="173" t="str">
        <f>IF(D44*0.1&lt;D42,"Exceed 10% Rule","")</f>
        <v/>
      </c>
      <c r="E43" s="173" t="str">
        <f>IF(E44*0.1&lt;E42,"Exceed 10% Rule","")</f>
        <v/>
      </c>
    </row>
    <row r="44" spans="2:5" x14ac:dyDescent="0.25">
      <c r="B44" s="174" t="s">
        <v>64</v>
      </c>
      <c r="C44" s="177">
        <f>SUM(C37:C42)</f>
        <v>0</v>
      </c>
      <c r="D44" s="177">
        <f>SUM(D37:D42)</f>
        <v>0</v>
      </c>
      <c r="E44" s="177">
        <f>SUM(E37:E42)</f>
        <v>0</v>
      </c>
    </row>
    <row r="45" spans="2:5" x14ac:dyDescent="0.25">
      <c r="B45" s="174" t="s">
        <v>65</v>
      </c>
      <c r="C45" s="177">
        <f>C35+C44</f>
        <v>0</v>
      </c>
      <c r="D45" s="177">
        <f>D35+D44</f>
        <v>0</v>
      </c>
      <c r="E45" s="177">
        <f>E35+E44</f>
        <v>0</v>
      </c>
    </row>
    <row r="46" spans="2:5" x14ac:dyDescent="0.25">
      <c r="B46" s="93" t="s">
        <v>67</v>
      </c>
      <c r="C46" s="140"/>
      <c r="D46" s="140"/>
      <c r="E46" s="140"/>
    </row>
    <row r="47" spans="2:5" x14ac:dyDescent="0.25">
      <c r="B47" s="182"/>
      <c r="C47" s="39"/>
      <c r="D47" s="39"/>
      <c r="E47" s="39"/>
    </row>
    <row r="48" spans="2:5" x14ac:dyDescent="0.25">
      <c r="B48" s="182"/>
      <c r="C48" s="39"/>
      <c r="D48" s="39"/>
      <c r="E48" s="39"/>
    </row>
    <row r="49" spans="2:5" x14ac:dyDescent="0.25">
      <c r="B49" s="182"/>
      <c r="C49" s="39"/>
      <c r="D49" s="39"/>
      <c r="E49" s="39"/>
    </row>
    <row r="50" spans="2:5" x14ac:dyDescent="0.25">
      <c r="B50" s="182"/>
      <c r="C50" s="39"/>
      <c r="D50" s="39"/>
      <c r="E50" s="39"/>
    </row>
    <row r="51" spans="2:5" x14ac:dyDescent="0.25">
      <c r="B51" s="182"/>
      <c r="C51" s="39"/>
      <c r="D51" s="39"/>
      <c r="E51" s="39"/>
    </row>
    <row r="52" spans="2:5" x14ac:dyDescent="0.25">
      <c r="B52" s="183" t="str">
        <f>CONCATENATE("Cash Reserve (",E1," column)")</f>
        <v>Cash Reserve (2026 column)</v>
      </c>
      <c r="C52" s="39"/>
      <c r="D52" s="39"/>
      <c r="E52" s="39"/>
    </row>
    <row r="53" spans="2:5" x14ac:dyDescent="0.25">
      <c r="B53" s="183" t="s">
        <v>9</v>
      </c>
      <c r="C53" s="39"/>
      <c r="D53" s="168"/>
      <c r="E53" s="168"/>
    </row>
    <row r="54" spans="2:5" x14ac:dyDescent="0.25">
      <c r="B54" s="183" t="s">
        <v>351</v>
      </c>
      <c r="C54" s="204" t="str">
        <f>IF(C55*0.1&lt;C53,"Exceed 10% Rule","")</f>
        <v/>
      </c>
      <c r="D54" s="173" t="str">
        <f>IF(D55*0.1&lt;D53,"Exceed 10% Rule","")</f>
        <v/>
      </c>
      <c r="E54" s="173" t="str">
        <f>IF(E55*0.1&lt;E53,"Exceed 10% Rule","")</f>
        <v/>
      </c>
    </row>
    <row r="55" spans="2:5" x14ac:dyDescent="0.25">
      <c r="B55" s="174" t="s">
        <v>71</v>
      </c>
      <c r="C55" s="177">
        <f>SUM(C47:C53)</f>
        <v>0</v>
      </c>
      <c r="D55" s="177">
        <f>SUM(D47:D53)</f>
        <v>0</v>
      </c>
      <c r="E55" s="177">
        <f>SUM(E47:E53)</f>
        <v>0</v>
      </c>
    </row>
    <row r="56" spans="2:5" x14ac:dyDescent="0.25">
      <c r="B56" s="93" t="s">
        <v>134</v>
      </c>
      <c r="C56" s="50">
        <f>C45-C55</f>
        <v>0</v>
      </c>
      <c r="D56" s="50">
        <f>D45-D55</f>
        <v>0</v>
      </c>
      <c r="E56" s="50">
        <f>E45-E55</f>
        <v>0</v>
      </c>
    </row>
    <row r="57" spans="2:5" x14ac:dyDescent="0.25">
      <c r="B57" s="108" t="str">
        <f>CONCATENATE("",E1-2,"/",E1-1,"/",E1," Budget Authority Amount:")</f>
        <v>2024/2025/2026 Budget Authority Amount:</v>
      </c>
      <c r="C57" s="447">
        <f>inputOth!B87</f>
        <v>0</v>
      </c>
      <c r="D57" s="447">
        <f>inputPrYr!D46</f>
        <v>0</v>
      </c>
      <c r="E57" s="459">
        <f>E55</f>
        <v>0</v>
      </c>
    </row>
    <row r="58" spans="2:5" x14ac:dyDescent="0.25">
      <c r="B58" s="80"/>
      <c r="C58" s="185" t="str">
        <f>IF(C55&gt;C57,"See Tab A","")</f>
        <v/>
      </c>
      <c r="D58" s="185" t="str">
        <f>IF(D55&gt;D57,"See Tab C","")</f>
        <v/>
      </c>
      <c r="E58" s="460" t="str">
        <f>IF(E56&lt;0,"See Tab E","")</f>
        <v/>
      </c>
    </row>
    <row r="59" spans="2:5" x14ac:dyDescent="0.25">
      <c r="B59" s="542" t="s">
        <v>535</v>
      </c>
      <c r="C59" s="529" t="str">
        <f>IF(C56&lt;0,"See Tab B","")</f>
        <v/>
      </c>
      <c r="D59" s="529" t="str">
        <f>IF(D56&lt;0,"See Tab D","")</f>
        <v/>
      </c>
      <c r="E59" s="512"/>
    </row>
    <row r="60" spans="2:5" x14ac:dyDescent="0.25">
      <c r="B60" s="530"/>
      <c r="C60" s="185"/>
      <c r="D60" s="185"/>
      <c r="E60" s="405"/>
    </row>
    <row r="61" spans="2:5" x14ac:dyDescent="0.25">
      <c r="B61" s="531"/>
      <c r="C61" s="532"/>
      <c r="D61" s="532"/>
      <c r="E61" s="49"/>
    </row>
    <row r="62" spans="2:5" x14ac:dyDescent="0.25">
      <c r="B62" s="28"/>
      <c r="C62" s="28"/>
      <c r="D62" s="28"/>
      <c r="E62" s="28"/>
    </row>
    <row r="63" spans="2:5" x14ac:dyDescent="0.25">
      <c r="B63" s="274" t="s">
        <v>74</v>
      </c>
      <c r="C63" s="465"/>
      <c r="D63" s="28"/>
      <c r="E63" s="28"/>
    </row>
  </sheetData>
  <sheetProtection sheet="1" objects="1" scenarios="1"/>
  <phoneticPr fontId="0" type="noConversion"/>
  <conditionalFormatting sqref="C13">
    <cfRule type="cellIs" dxfId="105" priority="5" stopIfTrue="1" operator="greaterThan">
      <formula>$C$15*0.1</formula>
    </cfRule>
  </conditionalFormatting>
  <conditionalFormatting sqref="C24">
    <cfRule type="cellIs" dxfId="104" priority="8" stopIfTrue="1" operator="greaterThan">
      <formula>$C$26*0.1</formula>
    </cfRule>
  </conditionalFormatting>
  <conditionalFormatting sqref="C26">
    <cfRule type="cellIs" dxfId="103" priority="20" stopIfTrue="1" operator="greaterThan">
      <formula>$C$28</formula>
    </cfRule>
  </conditionalFormatting>
  <conditionalFormatting sqref="C27 C56">
    <cfRule type="cellIs" dxfId="102" priority="18" stopIfTrue="1" operator="lessThan">
      <formula>0</formula>
    </cfRule>
  </conditionalFormatting>
  <conditionalFormatting sqref="C42">
    <cfRule type="cellIs" dxfId="101" priority="11" stopIfTrue="1" operator="greaterThan">
      <formula>$C$44*0.1</formula>
    </cfRule>
  </conditionalFormatting>
  <conditionalFormatting sqref="C53">
    <cfRule type="cellIs" dxfId="100" priority="14" stopIfTrue="1" operator="greaterThan">
      <formula>$C$55*0.1</formula>
    </cfRule>
  </conditionalFormatting>
  <conditionalFormatting sqref="C55:D55">
    <cfRule type="cellIs" dxfId="99" priority="17" stopIfTrue="1" operator="greaterThan">
      <formula>$D$57</formula>
    </cfRule>
  </conditionalFormatting>
  <conditionalFormatting sqref="D13">
    <cfRule type="cellIs" dxfId="98" priority="6" stopIfTrue="1" operator="greaterThan">
      <formula>$D$15*0.1</formula>
    </cfRule>
  </conditionalFormatting>
  <conditionalFormatting sqref="D24">
    <cfRule type="cellIs" dxfId="97" priority="9" stopIfTrue="1" operator="greaterThan">
      <formula>$D$26*0.1</formula>
    </cfRule>
  </conditionalFormatting>
  <conditionalFormatting sqref="D26">
    <cfRule type="cellIs" dxfId="96" priority="19" stopIfTrue="1" operator="greaterThan">
      <formula>$D$28</formula>
    </cfRule>
  </conditionalFormatting>
  <conditionalFormatting sqref="D27">
    <cfRule type="cellIs" dxfId="95" priority="3" stopIfTrue="1" operator="lessThan">
      <formula>0</formula>
    </cfRule>
  </conditionalFormatting>
  <conditionalFormatting sqref="D42">
    <cfRule type="cellIs" dxfId="94" priority="12" stopIfTrue="1" operator="greaterThan">
      <formula>$D$44*0.1</formula>
    </cfRule>
  </conditionalFormatting>
  <conditionalFormatting sqref="D53">
    <cfRule type="cellIs" dxfId="93" priority="15" stopIfTrue="1" operator="greaterThan">
      <formula>$D$55*0.1</formula>
    </cfRule>
  </conditionalFormatting>
  <conditionalFormatting sqref="D56">
    <cfRule type="cellIs" dxfId="92" priority="4" stopIfTrue="1" operator="lessThan">
      <formula>0</formula>
    </cfRule>
  </conditionalFormatting>
  <conditionalFormatting sqref="E13">
    <cfRule type="cellIs" dxfId="91" priority="7" stopIfTrue="1" operator="greaterThan">
      <formula>$E$15*0.1</formula>
    </cfRule>
  </conditionalFormatting>
  <conditionalFormatting sqref="E24">
    <cfRule type="cellIs" dxfId="90" priority="10" stopIfTrue="1" operator="greaterThan">
      <formula>$E$26*0.1</formula>
    </cfRule>
  </conditionalFormatting>
  <conditionalFormatting sqref="E27:E28">
    <cfRule type="cellIs" dxfId="89" priority="2" stopIfTrue="1" operator="lessThan">
      <formula>0</formula>
    </cfRule>
  </conditionalFormatting>
  <conditionalFormatting sqref="E42">
    <cfRule type="cellIs" dxfId="88" priority="13" stopIfTrue="1" operator="greaterThan">
      <formula>$E$44*0.1</formula>
    </cfRule>
  </conditionalFormatting>
  <conditionalFormatting sqref="E53">
    <cfRule type="cellIs" dxfId="87" priority="16" stopIfTrue="1" operator="greaterThan">
      <formula>$E$55*0.1</formula>
    </cfRule>
  </conditionalFormatting>
  <conditionalFormatting sqref="E56:E57">
    <cfRule type="cellIs" dxfId="86" priority="1" stopIfTrue="1" operator="lessThan">
      <formula>0</formula>
    </cfRule>
  </conditionalFormatting>
  <pageMargins left="0.5" right="0.5" top="1" bottom="0.5" header="0.5" footer="0.5"/>
  <pageSetup scale="70" orientation="portrait" blackAndWhite="1" horizontalDpi="120" verticalDpi="144"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F0"/>
    <pageSetUpPr fitToPage="1"/>
  </sheetPr>
  <dimension ref="B1:E63"/>
  <sheetViews>
    <sheetView workbookViewId="0">
      <selection activeCell="B2" sqref="B2"/>
    </sheetView>
  </sheetViews>
  <sheetFormatPr defaultColWidth="8.9140625" defaultRowHeight="15.5" x14ac:dyDescent="0.25"/>
  <cols>
    <col min="1" max="1" width="2.4140625" style="24" customWidth="1"/>
    <col min="2" max="2" width="31.08203125" style="24" customWidth="1"/>
    <col min="3" max="4" width="15.75" style="24" customWidth="1"/>
    <col min="5" max="5" width="16.08203125" style="24" customWidth="1"/>
    <col min="6" max="16384" width="8.9140625" style="24"/>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f>inputPrYr!B47</f>
        <v>0</v>
      </c>
      <c r="C5" s="137" t="str">
        <f>CONCATENATE("Actual for ",E1-2,"")</f>
        <v>Actual for 2024</v>
      </c>
      <c r="D5" s="137" t="str">
        <f>CONCATENATE("Estimate for ",E1-1,"")</f>
        <v>Estimate for 2025</v>
      </c>
      <c r="E5" s="122" t="str">
        <f>CONCATENATE("Year for ",E1,"")</f>
        <v>Year for 2026</v>
      </c>
    </row>
    <row r="6" spans="2:5" x14ac:dyDescent="0.25">
      <c r="B6" s="162" t="s">
        <v>133</v>
      </c>
      <c r="C6" s="39"/>
      <c r="D6" s="140">
        <f>C27</f>
        <v>0</v>
      </c>
      <c r="E6" s="140">
        <f>D27</f>
        <v>0</v>
      </c>
    </row>
    <row r="7" spans="2:5" s="26" customFormat="1" x14ac:dyDescent="0.25">
      <c r="B7" s="166" t="s">
        <v>135</v>
      </c>
      <c r="C7" s="52"/>
      <c r="D7" s="52"/>
      <c r="E7" s="52"/>
    </row>
    <row r="8" spans="2:5" x14ac:dyDescent="0.25">
      <c r="B8" s="182"/>
      <c r="C8" s="39"/>
      <c r="D8" s="39"/>
      <c r="E8" s="39"/>
    </row>
    <row r="9" spans="2:5" x14ac:dyDescent="0.25">
      <c r="B9" s="182"/>
      <c r="C9" s="39"/>
      <c r="D9" s="39"/>
      <c r="E9" s="39"/>
    </row>
    <row r="10" spans="2:5" x14ac:dyDescent="0.25">
      <c r="B10" s="182"/>
      <c r="C10" s="39"/>
      <c r="D10" s="39"/>
      <c r="E10" s="39"/>
    </row>
    <row r="11" spans="2:5" x14ac:dyDescent="0.25">
      <c r="B11" s="182"/>
      <c r="C11" s="39"/>
      <c r="D11" s="39"/>
      <c r="E11" s="39"/>
    </row>
    <row r="12" spans="2:5" x14ac:dyDescent="0.25">
      <c r="B12" s="171" t="s">
        <v>63</v>
      </c>
      <c r="C12" s="39"/>
      <c r="D12" s="39"/>
      <c r="E12" s="39"/>
    </row>
    <row r="13" spans="2:5" x14ac:dyDescent="0.25">
      <c r="B13" s="102" t="s">
        <v>9</v>
      </c>
      <c r="C13" s="39"/>
      <c r="D13" s="168"/>
      <c r="E13" s="168"/>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0</v>
      </c>
      <c r="D15" s="177">
        <f>SUM(D8:D13)</f>
        <v>0</v>
      </c>
      <c r="E15" s="177">
        <f>SUM(E8:E13)</f>
        <v>0</v>
      </c>
    </row>
    <row r="16" spans="2:5" x14ac:dyDescent="0.25">
      <c r="B16" s="174" t="s">
        <v>65</v>
      </c>
      <c r="C16" s="177">
        <f>C6+C15</f>
        <v>0</v>
      </c>
      <c r="D16" s="177">
        <f>D6+D15</f>
        <v>0</v>
      </c>
      <c r="E16" s="177">
        <f>E6+E15</f>
        <v>0</v>
      </c>
    </row>
    <row r="17" spans="2:5" x14ac:dyDescent="0.25">
      <c r="B17" s="93" t="s">
        <v>67</v>
      </c>
      <c r="C17" s="140"/>
      <c r="D17" s="140"/>
      <c r="E17" s="140"/>
    </row>
    <row r="18" spans="2:5" x14ac:dyDescent="0.25">
      <c r="B18" s="182"/>
      <c r="C18" s="39"/>
      <c r="D18" s="39"/>
      <c r="E18" s="39"/>
    </row>
    <row r="19" spans="2:5" x14ac:dyDescent="0.25">
      <c r="B19" s="182"/>
      <c r="C19" s="39"/>
      <c r="D19" s="39"/>
      <c r="E19" s="39"/>
    </row>
    <row r="20" spans="2:5" x14ac:dyDescent="0.25">
      <c r="B20" s="182"/>
      <c r="C20" s="39"/>
      <c r="D20" s="39"/>
      <c r="E20" s="39"/>
    </row>
    <row r="21" spans="2:5" x14ac:dyDescent="0.25">
      <c r="B21" s="182"/>
      <c r="C21" s="39"/>
      <c r="D21" s="39"/>
      <c r="E21" s="39"/>
    </row>
    <row r="22" spans="2:5" x14ac:dyDescent="0.25">
      <c r="B22" s="182"/>
      <c r="C22" s="39"/>
      <c r="D22" s="39"/>
      <c r="E22" s="39"/>
    </row>
    <row r="23" spans="2:5" x14ac:dyDescent="0.25">
      <c r="B23" s="183" t="str">
        <f>CONCATENATE("Cash Reserve (",E1," column)")</f>
        <v>Cash Reserve (2026 column)</v>
      </c>
      <c r="C23" s="39"/>
      <c r="D23" s="39"/>
      <c r="E23" s="39"/>
    </row>
    <row r="24" spans="2:5" x14ac:dyDescent="0.25">
      <c r="B24" s="183" t="s">
        <v>9</v>
      </c>
      <c r="C24" s="39"/>
      <c r="D24" s="168"/>
      <c r="E24" s="168"/>
    </row>
    <row r="25" spans="2:5" x14ac:dyDescent="0.25">
      <c r="B25" s="183" t="s">
        <v>351</v>
      </c>
      <c r="C25" s="204" t="str">
        <f>IF(C26*0.1&lt;C24,"Exceed 10% Rule","")</f>
        <v/>
      </c>
      <c r="D25" s="173" t="str">
        <f>IF(D26*0.1&lt;D24,"Exceed 10% Rule","")</f>
        <v/>
      </c>
      <c r="E25" s="173" t="str">
        <f>IF(E26*0.1&lt;E24,"Exceed 10% Rule","")</f>
        <v/>
      </c>
    </row>
    <row r="26" spans="2:5" x14ac:dyDescent="0.25">
      <c r="B26" s="174" t="s">
        <v>71</v>
      </c>
      <c r="C26" s="177">
        <f>SUM(C18:C24)</f>
        <v>0</v>
      </c>
      <c r="D26" s="177">
        <f>SUM(D18:D24)</f>
        <v>0</v>
      </c>
      <c r="E26" s="177">
        <f>SUM(E18:E24)</f>
        <v>0</v>
      </c>
    </row>
    <row r="27" spans="2:5" x14ac:dyDescent="0.25">
      <c r="B27" s="93" t="s">
        <v>134</v>
      </c>
      <c r="C27" s="50">
        <f>C16-C26</f>
        <v>0</v>
      </c>
      <c r="D27" s="50">
        <f>D16-D26</f>
        <v>0</v>
      </c>
      <c r="E27" s="50">
        <f>E16-E26</f>
        <v>0</v>
      </c>
    </row>
    <row r="28" spans="2:5" x14ac:dyDescent="0.25">
      <c r="B28" s="108" t="str">
        <f>CONCATENATE("",E1-2,"/",E1-1,"/",E1," Budget Authority Amount:")</f>
        <v>2024/2025/2026 Budget Authority Amount:</v>
      </c>
      <c r="C28" s="447">
        <f>inputOth!B88</f>
        <v>0</v>
      </c>
      <c r="D28" s="447">
        <f>inputPrYr!D47</f>
        <v>0</v>
      </c>
      <c r="E28" s="459">
        <f>E26</f>
        <v>0</v>
      </c>
    </row>
    <row r="29" spans="2:5" x14ac:dyDescent="0.25">
      <c r="B29" s="80"/>
      <c r="C29" s="185" t="str">
        <f>IF(C26&gt;C28,"See Tab A","")</f>
        <v/>
      </c>
      <c r="D29" s="185" t="str">
        <f>IF(D26&gt;D28,"See Tab C","")</f>
        <v/>
      </c>
      <c r="E29" s="460" t="str">
        <f>IF(E27&lt;0,"See Tab E","")</f>
        <v/>
      </c>
    </row>
    <row r="30" spans="2:5" x14ac:dyDescent="0.25">
      <c r="B30" s="80"/>
      <c r="C30" s="185" t="str">
        <f>IF(C27&lt;0,"See Tab B","")</f>
        <v/>
      </c>
      <c r="D30" s="185" t="str">
        <f>IF(D27&lt;0,"See Tab D","")</f>
        <v/>
      </c>
      <c r="E30" s="56"/>
    </row>
    <row r="31" spans="2:5" x14ac:dyDescent="0.25">
      <c r="B31" s="28"/>
      <c r="C31" s="56"/>
      <c r="D31" s="56"/>
      <c r="E31" s="56"/>
    </row>
    <row r="32" spans="2:5" x14ac:dyDescent="0.25">
      <c r="B32" s="29" t="s">
        <v>57</v>
      </c>
      <c r="C32" s="199"/>
      <c r="D32" s="199"/>
      <c r="E32" s="199"/>
    </row>
    <row r="33" spans="2:5" x14ac:dyDescent="0.25">
      <c r="B33" s="28"/>
      <c r="C33" s="443" t="s">
        <v>475</v>
      </c>
      <c r="D33" s="444" t="s">
        <v>476</v>
      </c>
      <c r="E33" s="87" t="s">
        <v>477</v>
      </c>
    </row>
    <row r="34" spans="2:5" x14ac:dyDescent="0.25">
      <c r="B34" s="334">
        <f>inputPrYr!B48</f>
        <v>0</v>
      </c>
      <c r="C34" s="137" t="str">
        <f>CONCATENATE("Actual for ",$E$1-2,"")</f>
        <v>Actual for 2024</v>
      </c>
      <c r="D34" s="137" t="str">
        <f>CONCATENATE("Estimate for ",$E$1-1,"")</f>
        <v>Estimate for 2025</v>
      </c>
      <c r="E34" s="122" t="str">
        <f>CONCATENATE("Year for ",$E$1,"")</f>
        <v>Year for 2026</v>
      </c>
    </row>
    <row r="35" spans="2:5" x14ac:dyDescent="0.25">
      <c r="B35" s="162" t="s">
        <v>133</v>
      </c>
      <c r="C35" s="39"/>
      <c r="D35" s="140">
        <f>C56</f>
        <v>0</v>
      </c>
      <c r="E35" s="140">
        <f>D56</f>
        <v>0</v>
      </c>
    </row>
    <row r="36" spans="2:5" s="26" customFormat="1" x14ac:dyDescent="0.25">
      <c r="B36" s="166" t="s">
        <v>135</v>
      </c>
      <c r="C36" s="52"/>
      <c r="D36" s="52"/>
      <c r="E36" s="52"/>
    </row>
    <row r="37" spans="2:5" x14ac:dyDescent="0.25">
      <c r="B37" s="182"/>
      <c r="C37" s="39"/>
      <c r="D37" s="39"/>
      <c r="E37" s="39"/>
    </row>
    <row r="38" spans="2:5" x14ac:dyDescent="0.25">
      <c r="B38" s="182"/>
      <c r="C38" s="39"/>
      <c r="D38" s="39"/>
      <c r="E38" s="39"/>
    </row>
    <row r="39" spans="2:5" x14ac:dyDescent="0.25">
      <c r="B39" s="182"/>
      <c r="C39" s="39"/>
      <c r="D39" s="39"/>
      <c r="E39" s="39"/>
    </row>
    <row r="40" spans="2:5" x14ac:dyDescent="0.25">
      <c r="B40" s="182"/>
      <c r="C40" s="39"/>
      <c r="D40" s="39"/>
      <c r="E40" s="39"/>
    </row>
    <row r="41" spans="2:5" x14ac:dyDescent="0.25">
      <c r="B41" s="171" t="s">
        <v>63</v>
      </c>
      <c r="C41" s="39"/>
      <c r="D41" s="39"/>
      <c r="E41" s="39"/>
    </row>
    <row r="42" spans="2:5" x14ac:dyDescent="0.25">
      <c r="B42" s="102" t="s">
        <v>9</v>
      </c>
      <c r="C42" s="39"/>
      <c r="D42" s="168"/>
      <c r="E42" s="168"/>
    </row>
    <row r="43" spans="2:5" x14ac:dyDescent="0.25">
      <c r="B43" s="162" t="s">
        <v>350</v>
      </c>
      <c r="C43" s="204" t="str">
        <f>IF(C44*0.1&lt;C42,"Exceed 10% Rule","")</f>
        <v/>
      </c>
      <c r="D43" s="173" t="str">
        <f>IF(D44*0.1&lt;D42,"Exceed 10% Rule","")</f>
        <v/>
      </c>
      <c r="E43" s="173" t="str">
        <f>IF(E44*0.1&lt;E42,"Exceed 10% Rule","")</f>
        <v/>
      </c>
    </row>
    <row r="44" spans="2:5" x14ac:dyDescent="0.25">
      <c r="B44" s="174" t="s">
        <v>64</v>
      </c>
      <c r="C44" s="177">
        <f>SUM(C37:C42)</f>
        <v>0</v>
      </c>
      <c r="D44" s="177">
        <f>SUM(D37:D42)</f>
        <v>0</v>
      </c>
      <c r="E44" s="177">
        <f>SUM(E37:E42)</f>
        <v>0</v>
      </c>
    </row>
    <row r="45" spans="2:5" x14ac:dyDescent="0.25">
      <c r="B45" s="174" t="s">
        <v>65</v>
      </c>
      <c r="C45" s="177">
        <f>C35+C44</f>
        <v>0</v>
      </c>
      <c r="D45" s="177">
        <f>D35+D44</f>
        <v>0</v>
      </c>
      <c r="E45" s="177">
        <f>E35+E44</f>
        <v>0</v>
      </c>
    </row>
    <row r="46" spans="2:5" x14ac:dyDescent="0.25">
      <c r="B46" s="93" t="s">
        <v>67</v>
      </c>
      <c r="C46" s="140"/>
      <c r="D46" s="140"/>
      <c r="E46" s="140"/>
    </row>
    <row r="47" spans="2:5" x14ac:dyDescent="0.25">
      <c r="B47" s="182"/>
      <c r="C47" s="39"/>
      <c r="D47" s="39"/>
      <c r="E47" s="39"/>
    </row>
    <row r="48" spans="2:5" x14ac:dyDescent="0.25">
      <c r="B48" s="182"/>
      <c r="C48" s="39"/>
      <c r="D48" s="39"/>
      <c r="E48" s="39"/>
    </row>
    <row r="49" spans="2:5" x14ac:dyDescent="0.25">
      <c r="B49" s="182"/>
      <c r="C49" s="39"/>
      <c r="D49" s="39"/>
      <c r="E49" s="39"/>
    </row>
    <row r="50" spans="2:5" x14ac:dyDescent="0.25">
      <c r="B50" s="182"/>
      <c r="C50" s="39"/>
      <c r="D50" s="39"/>
      <c r="E50" s="39"/>
    </row>
    <row r="51" spans="2:5" x14ac:dyDescent="0.25">
      <c r="B51" s="182"/>
      <c r="C51" s="39"/>
      <c r="D51" s="39"/>
      <c r="E51" s="39"/>
    </row>
    <row r="52" spans="2:5" x14ac:dyDescent="0.25">
      <c r="B52" s="183" t="str">
        <f>CONCATENATE("Cash Reserve (",E1," column)")</f>
        <v>Cash Reserve (2026 column)</v>
      </c>
      <c r="C52" s="39"/>
      <c r="D52" s="39"/>
      <c r="E52" s="39"/>
    </row>
    <row r="53" spans="2:5" x14ac:dyDescent="0.25">
      <c r="B53" s="183" t="s">
        <v>9</v>
      </c>
      <c r="C53" s="39"/>
      <c r="D53" s="168"/>
      <c r="E53" s="168"/>
    </row>
    <row r="54" spans="2:5" x14ac:dyDescent="0.25">
      <c r="B54" s="183" t="s">
        <v>351</v>
      </c>
      <c r="C54" s="204" t="str">
        <f>IF(C55*0.1&lt;C53,"Exceed 10% Rule","")</f>
        <v/>
      </c>
      <c r="D54" s="173" t="str">
        <f>IF(D55*0.1&lt;D53,"Exceed 10% Rule","")</f>
        <v/>
      </c>
      <c r="E54" s="173" t="str">
        <f>IF(E55*0.1&lt;E53,"Exceed 10% Rule","")</f>
        <v/>
      </c>
    </row>
    <row r="55" spans="2:5" x14ac:dyDescent="0.25">
      <c r="B55" s="174" t="s">
        <v>71</v>
      </c>
      <c r="C55" s="177">
        <f>SUM(C47:C53)</f>
        <v>0</v>
      </c>
      <c r="D55" s="177">
        <f>SUM(D47:D53)</f>
        <v>0</v>
      </c>
      <c r="E55" s="177">
        <f>SUM(E47:E53)</f>
        <v>0</v>
      </c>
    </row>
    <row r="56" spans="2:5" x14ac:dyDescent="0.25">
      <c r="B56" s="93" t="s">
        <v>134</v>
      </c>
      <c r="C56" s="50">
        <f>C45-C55</f>
        <v>0</v>
      </c>
      <c r="D56" s="50">
        <f>D45-D55</f>
        <v>0</v>
      </c>
      <c r="E56" s="50">
        <f>E45-E55</f>
        <v>0</v>
      </c>
    </row>
    <row r="57" spans="2:5" x14ac:dyDescent="0.25">
      <c r="B57" s="108" t="str">
        <f>CONCATENATE("",E1-2,"/",E1-1,"/",E1," Budget Authority Amount:")</f>
        <v>2024/2025/2026 Budget Authority Amount:</v>
      </c>
      <c r="C57" s="447">
        <f>inputOth!B89</f>
        <v>0</v>
      </c>
      <c r="D57" s="447">
        <f>inputPrYr!D48</f>
        <v>0</v>
      </c>
      <c r="E57" s="459">
        <f>E55</f>
        <v>0</v>
      </c>
    </row>
    <row r="58" spans="2:5" x14ac:dyDescent="0.25">
      <c r="B58" s="80"/>
      <c r="C58" s="185" t="str">
        <f>IF(C55&gt;C57,"See Tab A","")</f>
        <v/>
      </c>
      <c r="D58" s="185" t="str">
        <f>IF(D55&gt;D57,"See Tab C","")</f>
        <v/>
      </c>
      <c r="E58" s="460" t="str">
        <f>IF(E56&lt;0,"See Tab E","")</f>
        <v/>
      </c>
    </row>
    <row r="59" spans="2:5" x14ac:dyDescent="0.25">
      <c r="B59" s="542" t="s">
        <v>535</v>
      </c>
      <c r="C59" s="529" t="str">
        <f>IF(C56&lt;0,"See Tab B","")</f>
        <v/>
      </c>
      <c r="D59" s="529" t="str">
        <f>IF(D56&lt;0,"See Tab D","")</f>
        <v/>
      </c>
      <c r="E59" s="512"/>
    </row>
    <row r="60" spans="2:5" x14ac:dyDescent="0.25">
      <c r="B60" s="530"/>
      <c r="C60" s="185"/>
      <c r="D60" s="185"/>
      <c r="E60" s="405"/>
    </row>
    <row r="61" spans="2:5" x14ac:dyDescent="0.25">
      <c r="B61" s="531"/>
      <c r="C61" s="532"/>
      <c r="D61" s="532"/>
      <c r="E61" s="49"/>
    </row>
    <row r="62" spans="2:5" x14ac:dyDescent="0.25">
      <c r="B62" s="28"/>
      <c r="C62" s="28"/>
      <c r="D62" s="28"/>
      <c r="E62" s="28"/>
    </row>
    <row r="63" spans="2:5" x14ac:dyDescent="0.25">
      <c r="B63" s="274" t="s">
        <v>74</v>
      </c>
      <c r="C63" s="465"/>
      <c r="D63" s="28"/>
      <c r="E63" s="28"/>
    </row>
  </sheetData>
  <sheetProtection sheet="1" objects="1" scenarios="1"/>
  <conditionalFormatting sqref="C13">
    <cfRule type="cellIs" dxfId="85" priority="20" stopIfTrue="1" operator="greaterThan">
      <formula>$C$15*0.1</formula>
    </cfRule>
  </conditionalFormatting>
  <conditionalFormatting sqref="C24">
    <cfRule type="cellIs" dxfId="84" priority="17" stopIfTrue="1" operator="greaterThan">
      <formula>$C$26*0.1</formula>
    </cfRule>
  </conditionalFormatting>
  <conditionalFormatting sqref="C26">
    <cfRule type="cellIs" dxfId="83" priority="5" stopIfTrue="1" operator="greaterThan">
      <formula>$C$28</formula>
    </cfRule>
  </conditionalFormatting>
  <conditionalFormatting sqref="C27 C56">
    <cfRule type="cellIs" dxfId="82" priority="7" stopIfTrue="1" operator="lessThan">
      <formula>0</formula>
    </cfRule>
  </conditionalFormatting>
  <conditionalFormatting sqref="C42">
    <cfRule type="cellIs" dxfId="81" priority="14" stopIfTrue="1" operator="greaterThan">
      <formula>$C$44*0.1</formula>
    </cfRule>
  </conditionalFormatting>
  <conditionalFormatting sqref="C53">
    <cfRule type="cellIs" dxfId="80" priority="11" stopIfTrue="1" operator="greaterThan">
      <formula>$C$55*0.1</formula>
    </cfRule>
  </conditionalFormatting>
  <conditionalFormatting sqref="C55:D55">
    <cfRule type="cellIs" dxfId="79" priority="8" stopIfTrue="1" operator="greaterThan">
      <formula>$D$57</formula>
    </cfRule>
  </conditionalFormatting>
  <conditionalFormatting sqref="D13">
    <cfRule type="cellIs" dxfId="78" priority="19" stopIfTrue="1" operator="greaterThan">
      <formula>$D$15*0.1</formula>
    </cfRule>
  </conditionalFormatting>
  <conditionalFormatting sqref="D24">
    <cfRule type="cellIs" dxfId="77" priority="16" stopIfTrue="1" operator="greaterThan">
      <formula>$D$26*0.1</formula>
    </cfRule>
  </conditionalFormatting>
  <conditionalFormatting sqref="D26">
    <cfRule type="cellIs" dxfId="76" priority="6" stopIfTrue="1" operator="greaterThan">
      <formula>$D$28</formula>
    </cfRule>
  </conditionalFormatting>
  <conditionalFormatting sqref="D27">
    <cfRule type="cellIs" dxfId="75" priority="3" stopIfTrue="1" operator="lessThan">
      <formula>0</formula>
    </cfRule>
  </conditionalFormatting>
  <conditionalFormatting sqref="D42">
    <cfRule type="cellIs" dxfId="74" priority="13" stopIfTrue="1" operator="greaterThan">
      <formula>$D$44*0.1</formula>
    </cfRule>
  </conditionalFormatting>
  <conditionalFormatting sqref="D53">
    <cfRule type="cellIs" dxfId="73" priority="10" stopIfTrue="1" operator="greaterThan">
      <formula>$D$55*0.1</formula>
    </cfRule>
  </conditionalFormatting>
  <conditionalFormatting sqref="D56">
    <cfRule type="cellIs" dxfId="72" priority="4" stopIfTrue="1" operator="lessThan">
      <formula>0</formula>
    </cfRule>
  </conditionalFormatting>
  <conditionalFormatting sqref="E13">
    <cfRule type="cellIs" dxfId="71" priority="18" stopIfTrue="1" operator="greaterThan">
      <formula>$E$15*0.1</formula>
    </cfRule>
  </conditionalFormatting>
  <conditionalFormatting sqref="E24">
    <cfRule type="cellIs" dxfId="70" priority="15" stopIfTrue="1" operator="greaterThan">
      <formula>$E$26*0.1</formula>
    </cfRule>
  </conditionalFormatting>
  <conditionalFormatting sqref="E27:E28">
    <cfRule type="cellIs" dxfId="69" priority="2" stopIfTrue="1" operator="lessThan">
      <formula>0</formula>
    </cfRule>
  </conditionalFormatting>
  <conditionalFormatting sqref="E42">
    <cfRule type="cellIs" dxfId="68" priority="12" stopIfTrue="1" operator="greaterThan">
      <formula>$E$44*0.1</formula>
    </cfRule>
  </conditionalFormatting>
  <conditionalFormatting sqref="E53">
    <cfRule type="cellIs" dxfId="67" priority="9" stopIfTrue="1" operator="greaterThan">
      <formula>$E$55*0.1</formula>
    </cfRule>
  </conditionalFormatting>
  <conditionalFormatting sqref="E56:E57">
    <cfRule type="cellIs" dxfId="66" priority="1" stopIfTrue="1" operator="lessThan">
      <formula>0</formula>
    </cfRule>
  </conditionalFormatting>
  <pageMargins left="0.7" right="0.7" top="0.75" bottom="0.75" header="0.3" footer="0.3"/>
  <pageSetup scale="70" orientation="portrait" blackAndWhite="1" r:id="rId1"/>
  <headerFooter>
    <oddHeader>&amp;RState of Kansas
City</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00B0F0"/>
    <pageSetUpPr fitToPage="1"/>
  </sheetPr>
  <dimension ref="B1:E63"/>
  <sheetViews>
    <sheetView workbookViewId="0">
      <selection activeCell="K40" sqref="K40"/>
    </sheetView>
  </sheetViews>
  <sheetFormatPr defaultColWidth="8.9140625" defaultRowHeight="15.5" x14ac:dyDescent="0.25"/>
  <cols>
    <col min="1" max="1" width="2.4140625" style="24" customWidth="1"/>
    <col min="2" max="2" width="31.08203125" style="24" customWidth="1"/>
    <col min="3" max="4" width="15.75" style="24" customWidth="1"/>
    <col min="5" max="5" width="16.08203125" style="24" customWidth="1"/>
    <col min="6" max="16384" width="8.9140625" style="24"/>
  </cols>
  <sheetData>
    <row r="1" spans="2:5" x14ac:dyDescent="0.25">
      <c r="B1" s="47" t="str">
        <f>(inputPrYr!D3)</f>
        <v>The City of Colby</v>
      </c>
      <c r="C1" s="28"/>
      <c r="D1" s="28"/>
      <c r="E1" s="80">
        <f>inputPrYr!C6</f>
        <v>2026</v>
      </c>
    </row>
    <row r="2" spans="2:5" x14ac:dyDescent="0.25">
      <c r="B2" s="28"/>
      <c r="C2" s="28"/>
      <c r="D2" s="28"/>
      <c r="E2" s="107"/>
    </row>
    <row r="3" spans="2:5" x14ac:dyDescent="0.25">
      <c r="B3" s="160" t="s">
        <v>120</v>
      </c>
      <c r="C3" s="194"/>
      <c r="D3" s="194"/>
      <c r="E3" s="194"/>
    </row>
    <row r="4" spans="2:5" x14ac:dyDescent="0.25">
      <c r="B4" s="29" t="s">
        <v>57</v>
      </c>
      <c r="C4" s="443" t="s">
        <v>475</v>
      </c>
      <c r="D4" s="444" t="s">
        <v>476</v>
      </c>
      <c r="E4" s="87" t="s">
        <v>477</v>
      </c>
    </row>
    <row r="5" spans="2:5" x14ac:dyDescent="0.25">
      <c r="B5" s="334">
        <f>inputPrYr!B49</f>
        <v>0</v>
      </c>
      <c r="C5" s="137" t="str">
        <f>CONCATENATE("Actual for ",E1-2,"")</f>
        <v>Actual for 2024</v>
      </c>
      <c r="D5" s="137" t="str">
        <f>CONCATENATE("Estimate for ",E1-1,"")</f>
        <v>Estimate for 2025</v>
      </c>
      <c r="E5" s="122" t="str">
        <f>CONCATENATE("Year for ",E1,"")</f>
        <v>Year for 2026</v>
      </c>
    </row>
    <row r="6" spans="2:5" x14ac:dyDescent="0.25">
      <c r="B6" s="162" t="s">
        <v>133</v>
      </c>
      <c r="C6" s="39"/>
      <c r="D6" s="140">
        <f>C27</f>
        <v>0</v>
      </c>
      <c r="E6" s="140">
        <f>D27</f>
        <v>0</v>
      </c>
    </row>
    <row r="7" spans="2:5" s="26" customFormat="1" x14ac:dyDescent="0.25">
      <c r="B7" s="166" t="s">
        <v>135</v>
      </c>
      <c r="C7" s="52"/>
      <c r="D7" s="52"/>
      <c r="E7" s="52"/>
    </row>
    <row r="8" spans="2:5" x14ac:dyDescent="0.25">
      <c r="B8" s="182"/>
      <c r="C8" s="39"/>
      <c r="D8" s="39"/>
      <c r="E8" s="39"/>
    </row>
    <row r="9" spans="2:5" x14ac:dyDescent="0.25">
      <c r="B9" s="182"/>
      <c r="C9" s="39"/>
      <c r="D9" s="39"/>
      <c r="E9" s="39"/>
    </row>
    <row r="10" spans="2:5" x14ac:dyDescent="0.25">
      <c r="B10" s="182"/>
      <c r="C10" s="39"/>
      <c r="D10" s="39"/>
      <c r="E10" s="39"/>
    </row>
    <row r="11" spans="2:5" x14ac:dyDescent="0.25">
      <c r="B11" s="182"/>
      <c r="C11" s="39"/>
      <c r="D11" s="39"/>
      <c r="E11" s="39"/>
    </row>
    <row r="12" spans="2:5" x14ac:dyDescent="0.25">
      <c r="B12" s="171" t="s">
        <v>63</v>
      </c>
      <c r="C12" s="39"/>
      <c r="D12" s="39"/>
      <c r="E12" s="39"/>
    </row>
    <row r="13" spans="2:5" x14ac:dyDescent="0.25">
      <c r="B13" s="102" t="s">
        <v>9</v>
      </c>
      <c r="C13" s="39"/>
      <c r="D13" s="168"/>
      <c r="E13" s="168"/>
    </row>
    <row r="14" spans="2:5" x14ac:dyDescent="0.25">
      <c r="B14" s="162" t="s">
        <v>350</v>
      </c>
      <c r="C14" s="204" t="str">
        <f>IF(C15*0.1&lt;C13,"Exceed 10% Rule","")</f>
        <v/>
      </c>
      <c r="D14" s="173" t="str">
        <f>IF(D15*0.1&lt;D13,"Exceed 10% Rule","")</f>
        <v/>
      </c>
      <c r="E14" s="173" t="str">
        <f>IF(E15*0.1&lt;E13,"Exceed 10% Rule","")</f>
        <v/>
      </c>
    </row>
    <row r="15" spans="2:5" x14ac:dyDescent="0.25">
      <c r="B15" s="174" t="s">
        <v>64</v>
      </c>
      <c r="C15" s="177">
        <f>SUM(C8:C13)</f>
        <v>0</v>
      </c>
      <c r="D15" s="177">
        <f>SUM(D8:D13)</f>
        <v>0</v>
      </c>
      <c r="E15" s="177">
        <f>SUM(E8:E13)</f>
        <v>0</v>
      </c>
    </row>
    <row r="16" spans="2:5" x14ac:dyDescent="0.25">
      <c r="B16" s="174" t="s">
        <v>65</v>
      </c>
      <c r="C16" s="177">
        <f>C6+C15</f>
        <v>0</v>
      </c>
      <c r="D16" s="177">
        <f>D6+D15</f>
        <v>0</v>
      </c>
      <c r="E16" s="177">
        <f>E6+E15</f>
        <v>0</v>
      </c>
    </row>
    <row r="17" spans="2:5" x14ac:dyDescent="0.25">
      <c r="B17" s="93" t="s">
        <v>67</v>
      </c>
      <c r="C17" s="140"/>
      <c r="D17" s="140"/>
      <c r="E17" s="140"/>
    </row>
    <row r="18" spans="2:5" x14ac:dyDescent="0.25">
      <c r="B18" s="182"/>
      <c r="C18" s="39"/>
      <c r="D18" s="39"/>
      <c r="E18" s="39"/>
    </row>
    <row r="19" spans="2:5" x14ac:dyDescent="0.25">
      <c r="B19" s="182"/>
      <c r="C19" s="39"/>
      <c r="D19" s="39"/>
      <c r="E19" s="39"/>
    </row>
    <row r="20" spans="2:5" x14ac:dyDescent="0.25">
      <c r="B20" s="182"/>
      <c r="C20" s="39"/>
      <c r="D20" s="39"/>
      <c r="E20" s="39"/>
    </row>
    <row r="21" spans="2:5" x14ac:dyDescent="0.25">
      <c r="B21" s="182"/>
      <c r="C21" s="39"/>
      <c r="D21" s="39"/>
      <c r="E21" s="39"/>
    </row>
    <row r="22" spans="2:5" x14ac:dyDescent="0.25">
      <c r="B22" s="182"/>
      <c r="C22" s="39"/>
      <c r="D22" s="39"/>
      <c r="E22" s="39"/>
    </row>
    <row r="23" spans="2:5" x14ac:dyDescent="0.25">
      <c r="B23" s="183" t="str">
        <f>CONCATENATE("Cash Reserve (",E1," column)")</f>
        <v>Cash Reserve (2026 column)</v>
      </c>
      <c r="C23" s="39"/>
      <c r="D23" s="39"/>
      <c r="E23" s="39"/>
    </row>
    <row r="24" spans="2:5" x14ac:dyDescent="0.25">
      <c r="B24" s="183" t="s">
        <v>9</v>
      </c>
      <c r="C24" s="39"/>
      <c r="D24" s="168"/>
      <c r="E24" s="168"/>
    </row>
    <row r="25" spans="2:5" x14ac:dyDescent="0.25">
      <c r="B25" s="183" t="s">
        <v>351</v>
      </c>
      <c r="C25" s="204" t="str">
        <f>IF(C26*0.1&lt;C24,"Exceed 10% Rule","")</f>
        <v/>
      </c>
      <c r="D25" s="173" t="str">
        <f>IF(D26*0.1&lt;D24,"Exceed 10% Rule","")</f>
        <v/>
      </c>
      <c r="E25" s="173" t="str">
        <f>IF(E26*0.1&lt;E24,"Exceed 10% Rule","")</f>
        <v/>
      </c>
    </row>
    <row r="26" spans="2:5" x14ac:dyDescent="0.25">
      <c r="B26" s="174" t="s">
        <v>71</v>
      </c>
      <c r="C26" s="177">
        <f>SUM(C18:C24)</f>
        <v>0</v>
      </c>
      <c r="D26" s="177">
        <f>SUM(D18:D24)</f>
        <v>0</v>
      </c>
      <c r="E26" s="177">
        <f>SUM(E18:E24)</f>
        <v>0</v>
      </c>
    </row>
    <row r="27" spans="2:5" x14ac:dyDescent="0.25">
      <c r="B27" s="93" t="s">
        <v>134</v>
      </c>
      <c r="C27" s="50">
        <f>C16-C26</f>
        <v>0</v>
      </c>
      <c r="D27" s="50">
        <f>D16-D26</f>
        <v>0</v>
      </c>
      <c r="E27" s="50">
        <f>E16-E26</f>
        <v>0</v>
      </c>
    </row>
    <row r="28" spans="2:5" x14ac:dyDescent="0.25">
      <c r="B28" s="108" t="str">
        <f>CONCATENATE("",E1-2,"/",E1-1,"/",E1," Budget Authority Amount:")</f>
        <v>2024/2025/2026 Budget Authority Amount:</v>
      </c>
      <c r="C28" s="447">
        <f>inputOth!B90</f>
        <v>0</v>
      </c>
      <c r="D28" s="447">
        <f>inputPrYr!D49</f>
        <v>0</v>
      </c>
      <c r="E28" s="459">
        <f>E26</f>
        <v>0</v>
      </c>
    </row>
    <row r="29" spans="2:5" x14ac:dyDescent="0.25">
      <c r="B29" s="80"/>
      <c r="C29" s="185" t="str">
        <f>IF(C26&gt;C28,"See Tab A","")</f>
        <v/>
      </c>
      <c r="D29" s="185" t="str">
        <f>IF(D26&gt;D28,"See Tab C","")</f>
        <v/>
      </c>
      <c r="E29" s="460" t="str">
        <f>IF(E27&lt;0,"See Tab E","")</f>
        <v/>
      </c>
    </row>
    <row r="30" spans="2:5" x14ac:dyDescent="0.25">
      <c r="B30" s="80"/>
      <c r="C30" s="185" t="str">
        <f>IF(C27&lt;0,"See Tab B","")</f>
        <v/>
      </c>
      <c r="D30" s="185" t="str">
        <f>IF(D27&lt;0,"See Tab D","")</f>
        <v/>
      </c>
      <c r="E30" s="56"/>
    </row>
    <row r="31" spans="2:5" x14ac:dyDescent="0.25">
      <c r="B31" s="28"/>
      <c r="C31" s="56"/>
      <c r="D31" s="56"/>
      <c r="E31" s="56"/>
    </row>
    <row r="32" spans="2:5" x14ac:dyDescent="0.25">
      <c r="B32" s="29" t="s">
        <v>57</v>
      </c>
      <c r="C32" s="254"/>
      <c r="D32" s="199"/>
      <c r="E32" s="199"/>
    </row>
    <row r="33" spans="2:5" x14ac:dyDescent="0.25">
      <c r="B33" s="28"/>
      <c r="C33" s="443" t="s">
        <v>475</v>
      </c>
      <c r="D33" s="444" t="s">
        <v>476</v>
      </c>
      <c r="E33" s="87" t="s">
        <v>477</v>
      </c>
    </row>
    <row r="34" spans="2:5" x14ac:dyDescent="0.25">
      <c r="B34" s="334">
        <f>inputPrYr!B50</f>
        <v>0</v>
      </c>
      <c r="C34" s="137" t="str">
        <f>CONCATENATE("Actual for ",$E$1-2,"")</f>
        <v>Actual for 2024</v>
      </c>
      <c r="D34" s="137" t="str">
        <f>CONCATENATE("Estimate for ",$E$1-1,"")</f>
        <v>Estimate for 2025</v>
      </c>
      <c r="E34" s="122" t="str">
        <f>CONCATENATE("Year for ",$E$1,"")</f>
        <v>Year for 2026</v>
      </c>
    </row>
    <row r="35" spans="2:5" x14ac:dyDescent="0.25">
      <c r="B35" s="162" t="s">
        <v>133</v>
      </c>
      <c r="C35" s="39"/>
      <c r="D35" s="140">
        <f>C56</f>
        <v>0</v>
      </c>
      <c r="E35" s="140">
        <f>D56</f>
        <v>0</v>
      </c>
    </row>
    <row r="36" spans="2:5" s="26" customFormat="1" x14ac:dyDescent="0.25">
      <c r="B36" s="166" t="s">
        <v>135</v>
      </c>
      <c r="C36" s="52"/>
      <c r="D36" s="52"/>
      <c r="E36" s="52"/>
    </row>
    <row r="37" spans="2:5" x14ac:dyDescent="0.25">
      <c r="B37" s="182"/>
      <c r="C37" s="39"/>
      <c r="D37" s="39"/>
      <c r="E37" s="39"/>
    </row>
    <row r="38" spans="2:5" x14ac:dyDescent="0.25">
      <c r="B38" s="182"/>
      <c r="C38" s="39"/>
      <c r="D38" s="39"/>
      <c r="E38" s="39"/>
    </row>
    <row r="39" spans="2:5" x14ac:dyDescent="0.25">
      <c r="B39" s="182"/>
      <c r="C39" s="39"/>
      <c r="D39" s="39"/>
      <c r="E39" s="39"/>
    </row>
    <row r="40" spans="2:5" x14ac:dyDescent="0.25">
      <c r="B40" s="182"/>
      <c r="C40" s="39"/>
      <c r="D40" s="39"/>
      <c r="E40" s="39"/>
    </row>
    <row r="41" spans="2:5" x14ac:dyDescent="0.25">
      <c r="B41" s="171" t="s">
        <v>63</v>
      </c>
      <c r="C41" s="39"/>
      <c r="D41" s="39"/>
      <c r="E41" s="39"/>
    </row>
    <row r="42" spans="2:5" x14ac:dyDescent="0.25">
      <c r="B42" s="102" t="s">
        <v>9</v>
      </c>
      <c r="C42" s="39"/>
      <c r="D42" s="168"/>
      <c r="E42" s="168"/>
    </row>
    <row r="43" spans="2:5" x14ac:dyDescent="0.25">
      <c r="B43" s="162" t="s">
        <v>350</v>
      </c>
      <c r="C43" s="204" t="str">
        <f>IF(C44*0.1&lt;C42,"Exceed 10% Rule","")</f>
        <v/>
      </c>
      <c r="D43" s="173" t="str">
        <f>IF(D44*0.1&lt;D42,"Exceed 10% Rule","")</f>
        <v/>
      </c>
      <c r="E43" s="173" t="str">
        <f>IF(E44*0.1&lt;E42,"Exceed 10% Rule","")</f>
        <v/>
      </c>
    </row>
    <row r="44" spans="2:5" x14ac:dyDescent="0.25">
      <c r="B44" s="174" t="s">
        <v>64</v>
      </c>
      <c r="C44" s="177">
        <f>SUM(C37:C42)</f>
        <v>0</v>
      </c>
      <c r="D44" s="177">
        <f>SUM(D37:D42)</f>
        <v>0</v>
      </c>
      <c r="E44" s="177">
        <f>SUM(E37:E42)</f>
        <v>0</v>
      </c>
    </row>
    <row r="45" spans="2:5" x14ac:dyDescent="0.25">
      <c r="B45" s="174" t="s">
        <v>65</v>
      </c>
      <c r="C45" s="177">
        <f>C35+C44</f>
        <v>0</v>
      </c>
      <c r="D45" s="177">
        <f>D35+D44</f>
        <v>0</v>
      </c>
      <c r="E45" s="177">
        <f>E35+E44</f>
        <v>0</v>
      </c>
    </row>
    <row r="46" spans="2:5" x14ac:dyDescent="0.25">
      <c r="B46" s="93" t="s">
        <v>67</v>
      </c>
      <c r="C46" s="140"/>
      <c r="D46" s="140"/>
      <c r="E46" s="140"/>
    </row>
    <row r="47" spans="2:5" x14ac:dyDescent="0.25">
      <c r="B47" s="182"/>
      <c r="C47" s="39"/>
      <c r="D47" s="39"/>
      <c r="E47" s="39"/>
    </row>
    <row r="48" spans="2:5" x14ac:dyDescent="0.25">
      <c r="B48" s="182"/>
      <c r="C48" s="39"/>
      <c r="D48" s="39"/>
      <c r="E48" s="39"/>
    </row>
    <row r="49" spans="2:5" x14ac:dyDescent="0.25">
      <c r="B49" s="182"/>
      <c r="C49" s="39"/>
      <c r="D49" s="39"/>
      <c r="E49" s="39"/>
    </row>
    <row r="50" spans="2:5" x14ac:dyDescent="0.25">
      <c r="B50" s="182"/>
      <c r="C50" s="39"/>
      <c r="D50" s="39"/>
      <c r="E50" s="39"/>
    </row>
    <row r="51" spans="2:5" x14ac:dyDescent="0.25">
      <c r="B51" s="182"/>
      <c r="C51" s="39"/>
      <c r="D51" s="39"/>
      <c r="E51" s="39"/>
    </row>
    <row r="52" spans="2:5" x14ac:dyDescent="0.25">
      <c r="B52" s="183" t="str">
        <f>CONCATENATE("Cash Reserve (",E1," column)")</f>
        <v>Cash Reserve (2026 column)</v>
      </c>
      <c r="C52" s="39"/>
      <c r="D52" s="39"/>
      <c r="E52" s="39"/>
    </row>
    <row r="53" spans="2:5" x14ac:dyDescent="0.25">
      <c r="B53" s="183" t="s">
        <v>9</v>
      </c>
      <c r="C53" s="39"/>
      <c r="D53" s="168"/>
      <c r="E53" s="168"/>
    </row>
    <row r="54" spans="2:5" x14ac:dyDescent="0.25">
      <c r="B54" s="183" t="s">
        <v>351</v>
      </c>
      <c r="C54" s="204" t="str">
        <f>IF(C55*0.1&lt;C53,"Exceed 10% Rule","")</f>
        <v/>
      </c>
      <c r="D54" s="173" t="str">
        <f>IF(D55*0.1&lt;D53,"Exceed 10% Rule","")</f>
        <v/>
      </c>
      <c r="E54" s="173" t="str">
        <f>IF(E55*0.1&lt;E53,"Exceed 10% Rule","")</f>
        <v/>
      </c>
    </row>
    <row r="55" spans="2:5" x14ac:dyDescent="0.25">
      <c r="B55" s="174" t="s">
        <v>71</v>
      </c>
      <c r="C55" s="177">
        <f>SUM(C47:C53)</f>
        <v>0</v>
      </c>
      <c r="D55" s="177">
        <f>SUM(D47:D53)</f>
        <v>0</v>
      </c>
      <c r="E55" s="177">
        <f>SUM(E47:E53)</f>
        <v>0</v>
      </c>
    </row>
    <row r="56" spans="2:5" x14ac:dyDescent="0.25">
      <c r="B56" s="93" t="s">
        <v>134</v>
      </c>
      <c r="C56" s="50">
        <f>C45-C55</f>
        <v>0</v>
      </c>
      <c r="D56" s="50">
        <f>D45-D55</f>
        <v>0</v>
      </c>
      <c r="E56" s="50">
        <f>E45-E55</f>
        <v>0</v>
      </c>
    </row>
    <row r="57" spans="2:5" x14ac:dyDescent="0.25">
      <c r="B57" s="108" t="str">
        <f>CONCATENATE("",E1-2,"/",E1-1,"/",E1," Budget Authority Amount:")</f>
        <v>2024/2025/2026 Budget Authority Amount:</v>
      </c>
      <c r="C57" s="447">
        <f>inputOth!B91</f>
        <v>0</v>
      </c>
      <c r="D57" s="447">
        <f>inputPrYr!D50</f>
        <v>0</v>
      </c>
      <c r="E57" s="459">
        <f>E55</f>
        <v>0</v>
      </c>
    </row>
    <row r="58" spans="2:5" x14ac:dyDescent="0.25">
      <c r="B58" s="80"/>
      <c r="C58" s="185" t="str">
        <f>IF(C55&gt;C57,"See Tab A","")</f>
        <v/>
      </c>
      <c r="D58" s="185" t="str">
        <f>IF(D55&gt;D57,"See Tab C","")</f>
        <v/>
      </c>
      <c r="E58" s="460" t="str">
        <f>IF(E56&lt;0,"See Tab E","")</f>
        <v/>
      </c>
    </row>
    <row r="59" spans="2:5" x14ac:dyDescent="0.25">
      <c r="B59" s="542" t="s">
        <v>535</v>
      </c>
      <c r="C59" s="529" t="str">
        <f>IF(C56&lt;0,"See Tab B","")</f>
        <v/>
      </c>
      <c r="D59" s="529" t="str">
        <f>IF(D56&lt;0,"See Tab D","")</f>
        <v/>
      </c>
      <c r="E59" s="512"/>
    </row>
    <row r="60" spans="2:5" x14ac:dyDescent="0.25">
      <c r="B60" s="530"/>
      <c r="C60" s="185"/>
      <c r="D60" s="185"/>
      <c r="E60" s="405"/>
    </row>
    <row r="61" spans="2:5" x14ac:dyDescent="0.25">
      <c r="B61" s="531"/>
      <c r="C61" s="532"/>
      <c r="D61" s="532"/>
      <c r="E61" s="49"/>
    </row>
    <row r="62" spans="2:5" x14ac:dyDescent="0.25">
      <c r="B62" s="28"/>
      <c r="C62" s="28"/>
      <c r="D62" s="28"/>
      <c r="E62" s="28"/>
    </row>
    <row r="63" spans="2:5" x14ac:dyDescent="0.25">
      <c r="B63" s="274" t="s">
        <v>74</v>
      </c>
      <c r="C63" s="465"/>
      <c r="D63" s="28"/>
      <c r="E63" s="28"/>
    </row>
  </sheetData>
  <sheetProtection sheet="1" objects="1" scenarios="1"/>
  <conditionalFormatting sqref="C13">
    <cfRule type="cellIs" dxfId="65" priority="20" stopIfTrue="1" operator="greaterThan">
      <formula>$C$15*0.1</formula>
    </cfRule>
  </conditionalFormatting>
  <conditionalFormatting sqref="C24">
    <cfRule type="cellIs" dxfId="64" priority="17" stopIfTrue="1" operator="greaterThan">
      <formula>$C$26*0.1</formula>
    </cfRule>
  </conditionalFormatting>
  <conditionalFormatting sqref="C26">
    <cfRule type="cellIs" dxfId="63" priority="5" stopIfTrue="1" operator="greaterThan">
      <formula>$C$28</formula>
    </cfRule>
  </conditionalFormatting>
  <conditionalFormatting sqref="C27 C56">
    <cfRule type="cellIs" dxfId="62" priority="7" stopIfTrue="1" operator="lessThan">
      <formula>0</formula>
    </cfRule>
  </conditionalFormatting>
  <conditionalFormatting sqref="C42">
    <cfRule type="cellIs" dxfId="61" priority="14" stopIfTrue="1" operator="greaterThan">
      <formula>$C$44*0.1</formula>
    </cfRule>
  </conditionalFormatting>
  <conditionalFormatting sqref="C53">
    <cfRule type="cellIs" dxfId="60" priority="11" stopIfTrue="1" operator="greaterThan">
      <formula>$C$55*0.1</formula>
    </cfRule>
  </conditionalFormatting>
  <conditionalFormatting sqref="C55:D55">
    <cfRule type="cellIs" dxfId="59" priority="8" stopIfTrue="1" operator="greaterThan">
      <formula>$D$57</formula>
    </cfRule>
  </conditionalFormatting>
  <conditionalFormatting sqref="D13">
    <cfRule type="cellIs" dxfId="58" priority="19" stopIfTrue="1" operator="greaterThan">
      <formula>$D$15*0.1</formula>
    </cfRule>
  </conditionalFormatting>
  <conditionalFormatting sqref="D24">
    <cfRule type="cellIs" dxfId="57" priority="16" stopIfTrue="1" operator="greaterThan">
      <formula>$D$26*0.1</formula>
    </cfRule>
  </conditionalFormatting>
  <conditionalFormatting sqref="D26">
    <cfRule type="cellIs" dxfId="56" priority="6" stopIfTrue="1" operator="greaterThan">
      <formula>$D$28</formula>
    </cfRule>
  </conditionalFormatting>
  <conditionalFormatting sqref="D27">
    <cfRule type="cellIs" dxfId="55" priority="3" stopIfTrue="1" operator="lessThan">
      <formula>0</formula>
    </cfRule>
  </conditionalFormatting>
  <conditionalFormatting sqref="D42">
    <cfRule type="cellIs" dxfId="54" priority="13" stopIfTrue="1" operator="greaterThan">
      <formula>$D$44*0.1</formula>
    </cfRule>
  </conditionalFormatting>
  <conditionalFormatting sqref="D53">
    <cfRule type="cellIs" dxfId="53" priority="10" stopIfTrue="1" operator="greaterThan">
      <formula>$D$55*0.1</formula>
    </cfRule>
  </conditionalFormatting>
  <conditionalFormatting sqref="D56">
    <cfRule type="cellIs" dxfId="52" priority="4" stopIfTrue="1" operator="lessThan">
      <formula>0</formula>
    </cfRule>
  </conditionalFormatting>
  <conditionalFormatting sqref="E13">
    <cfRule type="cellIs" dxfId="51" priority="18" stopIfTrue="1" operator="greaterThan">
      <formula>$E$15*0.1</formula>
    </cfRule>
  </conditionalFormatting>
  <conditionalFormatting sqref="E24">
    <cfRule type="cellIs" dxfId="50" priority="15" stopIfTrue="1" operator="greaterThan">
      <formula>$E$26*0.1</formula>
    </cfRule>
  </conditionalFormatting>
  <conditionalFormatting sqref="E27:E28">
    <cfRule type="cellIs" dxfId="49" priority="2" stopIfTrue="1" operator="lessThan">
      <formula>0</formula>
    </cfRule>
  </conditionalFormatting>
  <conditionalFormatting sqref="E42">
    <cfRule type="cellIs" dxfId="48" priority="12" stopIfTrue="1" operator="greaterThan">
      <formula>$E$44*0.1</formula>
    </cfRule>
  </conditionalFormatting>
  <conditionalFormatting sqref="E53">
    <cfRule type="cellIs" dxfId="47" priority="9" stopIfTrue="1" operator="greaterThan">
      <formula>$E$55*0.1</formula>
    </cfRule>
  </conditionalFormatting>
  <conditionalFormatting sqref="E56:E57">
    <cfRule type="cellIs" dxfId="46" priority="1" stopIfTrue="1" operator="lessThan">
      <formula>0</formula>
    </cfRule>
  </conditionalFormatting>
  <pageMargins left="0.7" right="0.7" top="0.75" bottom="0.75" header="0.3" footer="0.3"/>
  <pageSetup scale="70" orientation="portrait" blackAndWhite="1" r:id="rId1"/>
  <headerFooter>
    <oddHeader>&amp;RState of Kansas
City</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DD571"/>
    <pageSetUpPr fitToPage="1"/>
  </sheetPr>
  <dimension ref="A1:O97"/>
  <sheetViews>
    <sheetView workbookViewId="0">
      <selection activeCell="P40" sqref="P40"/>
    </sheetView>
  </sheetViews>
  <sheetFormatPr defaultColWidth="8.9140625" defaultRowHeight="12.5" x14ac:dyDescent="0.25"/>
  <cols>
    <col min="1" max="1" width="15.75" style="64" customWidth="1"/>
    <col min="2" max="2" width="23.75" style="64" customWidth="1"/>
    <col min="3" max="3" width="9.75" style="64" customWidth="1"/>
    <col min="4" max="4" width="15.08203125" style="64" customWidth="1"/>
    <col min="5" max="5" width="15.75" style="64" customWidth="1"/>
    <col min="6" max="8" width="8.9140625" style="64"/>
    <col min="9" max="10" width="8.9140625" style="64" customWidth="1"/>
    <col min="11" max="16384" width="8.9140625" style="64"/>
  </cols>
  <sheetData>
    <row r="1" spans="1:5" ht="15.5" x14ac:dyDescent="0.25">
      <c r="A1" s="47" t="str">
        <f>inputPrYr!$D$3</f>
        <v>The City of Colby</v>
      </c>
      <c r="B1" s="40"/>
      <c r="C1" s="40"/>
      <c r="D1" s="40"/>
      <c r="E1" s="28">
        <f>inputPrYr!C6</f>
        <v>2026</v>
      </c>
    </row>
    <row r="2" spans="1:5" x14ac:dyDescent="0.25">
      <c r="A2" s="40"/>
      <c r="B2" s="40"/>
      <c r="C2" s="40"/>
      <c r="D2" s="40"/>
      <c r="E2" s="40"/>
    </row>
    <row r="3" spans="1:5" ht="15" x14ac:dyDescent="0.25">
      <c r="A3" s="683" t="s">
        <v>511</v>
      </c>
      <c r="B3" s="684"/>
      <c r="C3" s="684"/>
      <c r="D3" s="684"/>
      <c r="E3" s="684"/>
    </row>
    <row r="4" spans="1:5" x14ac:dyDescent="0.25">
      <c r="A4" s="40"/>
      <c r="B4" s="40"/>
      <c r="C4" s="40"/>
      <c r="D4" s="40"/>
      <c r="E4" s="40"/>
    </row>
    <row r="5" spans="1:5" x14ac:dyDescent="0.25">
      <c r="A5" s="40"/>
      <c r="B5" s="40"/>
      <c r="C5" s="40"/>
      <c r="D5" s="40"/>
      <c r="E5" s="40"/>
    </row>
    <row r="6" spans="1:5" ht="15.5" x14ac:dyDescent="0.25">
      <c r="A6" s="476" t="str">
        <f>CONCATENATE("From the County Clerk's ",E1," Budget Information:")</f>
        <v>From the County Clerk's 2026 Budget Information:</v>
      </c>
      <c r="B6" s="477"/>
      <c r="C6" s="28"/>
      <c r="D6" s="28"/>
      <c r="E6" s="56"/>
    </row>
    <row r="7" spans="1:5" ht="15.5" x14ac:dyDescent="0.25">
      <c r="A7" s="65" t="str">
        <f>CONCATENATE("Total Assessed Valuation for ",E1-1,"")</f>
        <v>Total Assessed Valuation for 2025</v>
      </c>
      <c r="B7" s="44"/>
      <c r="C7" s="44"/>
      <c r="D7" s="44"/>
      <c r="E7" s="39">
        <v>65330073</v>
      </c>
    </row>
    <row r="8" spans="1:5" ht="15.5" hidden="1" x14ac:dyDescent="0.25">
      <c r="A8" s="65" t="str">
        <f>CONCATENATE("New Improvements, Remodeling and Renovations for ",E1-1,"")</f>
        <v>New Improvements, Remodeling and Renovations for 2025</v>
      </c>
      <c r="B8" s="44"/>
      <c r="C8" s="44"/>
      <c r="D8" s="44"/>
      <c r="E8" s="66"/>
    </row>
    <row r="9" spans="1:5" ht="15.5" hidden="1" x14ac:dyDescent="0.25">
      <c r="A9" s="65" t="str">
        <f>CONCATENATE("Personal Property - ",E1-1,"")</f>
        <v>Personal Property - 2025</v>
      </c>
      <c r="B9" s="44"/>
      <c r="C9" s="44"/>
      <c r="D9" s="44"/>
      <c r="E9" s="66"/>
    </row>
    <row r="10" spans="1:5" ht="15.5" hidden="1" x14ac:dyDescent="0.25">
      <c r="A10" s="67" t="s">
        <v>156</v>
      </c>
      <c r="B10" s="44"/>
      <c r="C10" s="44"/>
      <c r="D10" s="44"/>
      <c r="E10" s="52"/>
    </row>
    <row r="11" spans="1:5" ht="15.5" hidden="1" x14ac:dyDescent="0.25">
      <c r="A11" s="65" t="s">
        <v>130</v>
      </c>
      <c r="B11" s="44"/>
      <c r="C11" s="44"/>
      <c r="D11" s="44"/>
      <c r="E11" s="66"/>
    </row>
    <row r="12" spans="1:5" ht="15.5" hidden="1" x14ac:dyDescent="0.25">
      <c r="A12" s="65" t="s">
        <v>131</v>
      </c>
      <c r="B12" s="44"/>
      <c r="C12" s="44"/>
      <c r="D12" s="44"/>
      <c r="E12" s="66"/>
    </row>
    <row r="13" spans="1:5" ht="15.5" hidden="1" x14ac:dyDescent="0.25">
      <c r="A13" s="65" t="s">
        <v>132</v>
      </c>
      <c r="B13" s="44"/>
      <c r="C13" s="44"/>
      <c r="D13" s="44"/>
      <c r="E13" s="66"/>
    </row>
    <row r="14" spans="1:5" ht="15.5" hidden="1" x14ac:dyDescent="0.25">
      <c r="A14" s="65" t="str">
        <f>CONCATENATE("Property that has changed in use for ",E1-1,"")</f>
        <v>Property that has changed in use for 2025</v>
      </c>
      <c r="B14" s="44"/>
      <c r="C14" s="44"/>
      <c r="D14" s="44"/>
      <c r="E14" s="66"/>
    </row>
    <row r="15" spans="1:5" ht="15.5" hidden="1" x14ac:dyDescent="0.25">
      <c r="A15" s="65" t="str">
        <f>CONCATENATE("Personal Property - ",E1-2,"")</f>
        <v>Personal Property - 2024</v>
      </c>
      <c r="B15" s="44"/>
      <c r="C15" s="44"/>
      <c r="D15" s="44"/>
      <c r="E15" s="66"/>
    </row>
    <row r="16" spans="1:5" ht="15.5" hidden="1" x14ac:dyDescent="0.25">
      <c r="A16" s="65" t="s">
        <v>536</v>
      </c>
      <c r="B16" s="44"/>
      <c r="C16" s="44"/>
      <c r="D16" s="44"/>
      <c r="E16" s="66"/>
    </row>
    <row r="17" spans="1:5" ht="15.5" x14ac:dyDescent="0.25">
      <c r="A17" s="65" t="str">
        <f>CONCATENATE("Gross earnings (intangible) tax estimate for ",E1,"")</f>
        <v>Gross earnings (intangible) tax estimate for 2026</v>
      </c>
      <c r="B17" s="44"/>
      <c r="C17" s="44"/>
      <c r="D17" s="54"/>
      <c r="E17" s="39">
        <v>0</v>
      </c>
    </row>
    <row r="18" spans="1:5" ht="15.5" x14ac:dyDescent="0.25">
      <c r="A18" s="65" t="s">
        <v>157</v>
      </c>
      <c r="B18" s="44"/>
      <c r="C18" s="44"/>
      <c r="D18" s="44"/>
      <c r="E18" s="61">
        <v>2060354</v>
      </c>
    </row>
    <row r="19" spans="1:5" ht="15.5" x14ac:dyDescent="0.25">
      <c r="A19" s="29"/>
      <c r="B19" s="28"/>
      <c r="C19" s="28"/>
      <c r="D19" s="28"/>
      <c r="E19" s="51"/>
    </row>
    <row r="20" spans="1:5" ht="15.5" x14ac:dyDescent="0.25">
      <c r="A20" s="27" t="s">
        <v>560</v>
      </c>
      <c r="B20" s="28"/>
      <c r="C20" s="28"/>
      <c r="D20" s="562">
        <v>33.582999999999998</v>
      </c>
      <c r="E20" s="51"/>
    </row>
    <row r="21" spans="1:5" ht="15.5" x14ac:dyDescent="0.25">
      <c r="A21" s="29"/>
      <c r="B21" s="28"/>
      <c r="C21" s="28"/>
      <c r="D21" s="28"/>
      <c r="E21" s="51"/>
    </row>
    <row r="22" spans="1:5" ht="15.5" x14ac:dyDescent="0.25">
      <c r="A22" s="29" t="str">
        <f>CONCATENATE("Actual Tax Rates for the ",E1-1," Budget:")</f>
        <v>Actual Tax Rates for the 2025 Budget:</v>
      </c>
      <c r="B22" s="28"/>
      <c r="C22" s="28"/>
      <c r="D22" s="28"/>
      <c r="E22" s="51"/>
    </row>
    <row r="23" spans="1:5" ht="15.5" x14ac:dyDescent="0.25">
      <c r="A23" s="685" t="s">
        <v>46</v>
      </c>
      <c r="B23" s="686"/>
      <c r="C23" s="40"/>
      <c r="D23" s="68" t="s">
        <v>94</v>
      </c>
      <c r="E23" s="51"/>
    </row>
    <row r="24" spans="1:5" ht="15.5" x14ac:dyDescent="0.25">
      <c r="A24" s="42" t="s">
        <v>33</v>
      </c>
      <c r="B24" s="43"/>
      <c r="C24" s="28"/>
      <c r="D24" s="462">
        <v>13.518000000000001</v>
      </c>
      <c r="E24" s="51"/>
    </row>
    <row r="25" spans="1:5" ht="15.5" x14ac:dyDescent="0.25">
      <c r="A25" s="65" t="s">
        <v>16</v>
      </c>
      <c r="B25" s="44"/>
      <c r="C25" s="28"/>
      <c r="D25" s="462">
        <v>0</v>
      </c>
      <c r="E25" s="51"/>
    </row>
    <row r="26" spans="1:5" ht="15.5" x14ac:dyDescent="0.25">
      <c r="A26" s="65" t="str">
        <f>IF(inputPrYr!B20&gt;" ",(inputPrYr!B20)," ")</f>
        <v>Library</v>
      </c>
      <c r="B26" s="44"/>
      <c r="C26" s="28"/>
      <c r="D26" s="462">
        <v>5.3460000000000001</v>
      </c>
      <c r="E26" s="51"/>
    </row>
    <row r="27" spans="1:5" ht="15.5" x14ac:dyDescent="0.25">
      <c r="A27" s="65" t="str">
        <f>IF(inputPrYr!B22&gt;" ",(inputPrYr!B22)," ")</f>
        <v>Recreation</v>
      </c>
      <c r="B27" s="44"/>
      <c r="C27" s="28"/>
      <c r="D27" s="462">
        <v>3.19</v>
      </c>
      <c r="E27" s="51"/>
    </row>
    <row r="28" spans="1:5" ht="15.5" x14ac:dyDescent="0.25">
      <c r="A28" s="65" t="str">
        <f>IF(inputPrYr!B23&gt;" ",(inputPrYr!B23)," ")</f>
        <v>Noxious Weeds</v>
      </c>
      <c r="B28" s="44"/>
      <c r="C28" s="28"/>
      <c r="D28" s="462">
        <v>0.11799999999999999</v>
      </c>
      <c r="E28" s="51"/>
    </row>
    <row r="29" spans="1:5" ht="15.5" x14ac:dyDescent="0.25">
      <c r="A29" s="65" t="str">
        <f>IF(inputPrYr!B24&gt;" ",(inputPrYr!B24)," ")</f>
        <v>Special Fire/Police</v>
      </c>
      <c r="B29" s="69"/>
      <c r="C29" s="28"/>
      <c r="D29" s="463">
        <v>0.81899999999999995</v>
      </c>
      <c r="E29" s="51"/>
    </row>
    <row r="30" spans="1:5" ht="15.5" x14ac:dyDescent="0.25">
      <c r="A30" s="65" t="str">
        <f>IF(inputPrYr!B25&gt;" ",(inputPrYr!B25)," ")</f>
        <v>Special Liability</v>
      </c>
      <c r="B30" s="69"/>
      <c r="C30" s="28"/>
      <c r="D30" s="463">
        <v>0.96199999999999997</v>
      </c>
      <c r="E30" s="51"/>
    </row>
    <row r="31" spans="1:5" ht="15.5" x14ac:dyDescent="0.25">
      <c r="A31" s="65" t="str">
        <f>IF(inputPrYr!B26&gt;" ",(inputPrYr!B26)," ")</f>
        <v>Employee Benefits</v>
      </c>
      <c r="B31" s="69"/>
      <c r="C31" s="28"/>
      <c r="D31" s="463">
        <v>9.2249999999999996</v>
      </c>
      <c r="E31" s="51"/>
    </row>
    <row r="32" spans="1:5" ht="15.5" x14ac:dyDescent="0.25">
      <c r="A32" s="65" t="str">
        <f>IF(inputPrYr!B27&gt;" ",(inputPrYr!B27)," ")</f>
        <v>Economic Development</v>
      </c>
      <c r="B32" s="69"/>
      <c r="C32" s="28"/>
      <c r="D32" s="463">
        <v>1.222</v>
      </c>
      <c r="E32" s="51"/>
    </row>
    <row r="33" spans="1:15" ht="15.5" x14ac:dyDescent="0.25">
      <c r="A33" s="65" t="str">
        <f>IF(inputPrYr!B28&gt;" ",(inputPrYr!B28)," ")</f>
        <v xml:space="preserve"> </v>
      </c>
      <c r="B33" s="69"/>
      <c r="C33" s="28"/>
      <c r="D33" s="463"/>
      <c r="E33" s="51"/>
    </row>
    <row r="34" spans="1:15" ht="15.5" x14ac:dyDescent="0.25">
      <c r="A34" s="65" t="str">
        <f>IF(inputPrYr!B29&gt;" ",(inputPrYr!B29)," ")</f>
        <v xml:space="preserve"> </v>
      </c>
      <c r="B34" s="69"/>
      <c r="C34" s="28"/>
      <c r="D34" s="463"/>
      <c r="E34" s="51"/>
    </row>
    <row r="35" spans="1:15" ht="15.5" x14ac:dyDescent="0.25">
      <c r="A35" s="65" t="str">
        <f>IF(inputPrYr!B30&gt;" ",(inputPrYr!B30)," ")</f>
        <v xml:space="preserve"> </v>
      </c>
      <c r="B35" s="69"/>
      <c r="C35" s="28"/>
      <c r="D35" s="463"/>
      <c r="E35" s="51"/>
    </row>
    <row r="36" spans="1:15" ht="15.5" x14ac:dyDescent="0.25">
      <c r="A36" s="65" t="str">
        <f>IF(inputPrYr!B31&gt;" ",(inputPrYr!B31)," ")</f>
        <v xml:space="preserve"> </v>
      </c>
      <c r="B36" s="44"/>
      <c r="C36" s="28"/>
      <c r="D36" s="462"/>
      <c r="E36" s="51"/>
    </row>
    <row r="37" spans="1:15" ht="15.5" x14ac:dyDescent="0.25">
      <c r="A37" s="40"/>
      <c r="B37" s="28"/>
      <c r="C37" s="183" t="s">
        <v>35</v>
      </c>
      <c r="D37" s="370">
        <f>SUM(D24:D36)</f>
        <v>34.4</v>
      </c>
      <c r="E37" s="40"/>
    </row>
    <row r="38" spans="1:15" x14ac:dyDescent="0.25">
      <c r="A38" s="40"/>
      <c r="B38" s="40"/>
      <c r="C38" s="40"/>
      <c r="D38" s="40"/>
      <c r="E38" s="40"/>
    </row>
    <row r="39" spans="1:15" ht="15.5" x14ac:dyDescent="0.25">
      <c r="A39" s="43" t="str">
        <f>CONCATENATE("Final Assessed Valuation from the November 1, ",E1-2," Abstract")</f>
        <v>Final Assessed Valuation from the November 1, 2024 Abstract</v>
      </c>
      <c r="B39" s="70"/>
      <c r="C39" s="70"/>
      <c r="D39" s="70"/>
      <c r="E39" s="61">
        <v>63771164</v>
      </c>
    </row>
    <row r="40" spans="1:15" x14ac:dyDescent="0.25">
      <c r="A40" s="40"/>
      <c r="B40" s="40"/>
      <c r="C40" s="40"/>
      <c r="D40" s="40"/>
      <c r="E40" s="40"/>
    </row>
    <row r="41" spans="1:15" ht="15.5" x14ac:dyDescent="0.25">
      <c r="A41" s="492" t="str">
        <f>CONCATENATE("From the County Treasurer's Budget Information - ",E1," Budget Year Estimates:")</f>
        <v>From the County Treasurer's Budget Information - 2026 Budget Year Estimates:</v>
      </c>
      <c r="B41" s="62"/>
      <c r="C41" s="62"/>
      <c r="D41" s="493"/>
      <c r="E41" s="56"/>
      <c r="F41" s="637" t="s">
        <v>997</v>
      </c>
      <c r="G41" s="637"/>
      <c r="H41" s="637"/>
      <c r="I41" s="637"/>
      <c r="J41" s="637"/>
      <c r="K41" s="637"/>
      <c r="L41" s="637"/>
      <c r="M41" s="637"/>
      <c r="N41" s="637"/>
      <c r="O41" s="637"/>
    </row>
    <row r="42" spans="1:15" ht="15.5" x14ac:dyDescent="0.25">
      <c r="A42" s="42" t="s">
        <v>36</v>
      </c>
      <c r="B42" s="43"/>
      <c r="C42" s="43"/>
      <c r="D42" s="71"/>
      <c r="E42" s="502">
        <v>198509</v>
      </c>
      <c r="F42" s="638" t="s">
        <v>998</v>
      </c>
      <c r="G42" s="639">
        <v>0.97</v>
      </c>
      <c r="H42" s="640" t="s">
        <v>93</v>
      </c>
      <c r="I42" s="641">
        <f>(204156+492)</f>
        <v>204648</v>
      </c>
      <c r="J42" s="642">
        <f>I42*0.97</f>
        <v>198508.56</v>
      </c>
      <c r="K42" s="637"/>
      <c r="L42" s="637"/>
      <c r="M42" s="637"/>
      <c r="N42" s="637"/>
      <c r="O42" s="637"/>
    </row>
    <row r="43" spans="1:15" ht="15.5" x14ac:dyDescent="0.25">
      <c r="A43" s="65" t="s">
        <v>37</v>
      </c>
      <c r="B43" s="44"/>
      <c r="C43" s="44"/>
      <c r="D43" s="72"/>
      <c r="E43" s="502">
        <f>2475+(1051*0.97)</f>
        <v>3494.4700000000003</v>
      </c>
      <c r="F43" s="638" t="s">
        <v>998</v>
      </c>
      <c r="G43" s="651">
        <v>0.97</v>
      </c>
      <c r="H43" s="652" t="s">
        <v>93</v>
      </c>
      <c r="I43" s="653">
        <v>2552</v>
      </c>
      <c r="J43" s="654">
        <f t="shared" ref="J43:J45" si="0">I43*0.97</f>
        <v>2475.44</v>
      </c>
      <c r="K43" s="637"/>
      <c r="L43" s="637"/>
      <c r="M43" s="637"/>
      <c r="N43" s="637"/>
      <c r="O43" s="637"/>
    </row>
    <row r="44" spans="1:15" ht="15.5" x14ac:dyDescent="0.25">
      <c r="A44" s="65" t="s">
        <v>158</v>
      </c>
      <c r="B44" s="44"/>
      <c r="C44" s="44"/>
      <c r="D44" s="72"/>
      <c r="E44" s="502">
        <v>3033</v>
      </c>
      <c r="F44" s="638" t="s">
        <v>998</v>
      </c>
      <c r="G44" s="639">
        <v>0.97</v>
      </c>
      <c r="H44" s="640" t="s">
        <v>93</v>
      </c>
      <c r="I44" s="641">
        <v>3127</v>
      </c>
      <c r="J44" s="642">
        <f t="shared" si="0"/>
        <v>3033.19</v>
      </c>
      <c r="K44" s="637"/>
      <c r="L44" s="637"/>
      <c r="M44" s="637"/>
      <c r="N44" s="637"/>
      <c r="O44" s="637"/>
    </row>
    <row r="45" spans="1:15" ht="15.5" x14ac:dyDescent="0.25">
      <c r="A45" s="504" t="s">
        <v>513</v>
      </c>
      <c r="B45" s="44"/>
      <c r="C45" s="44"/>
      <c r="D45" s="72"/>
      <c r="E45" s="502">
        <v>15942</v>
      </c>
      <c r="F45" s="638" t="s">
        <v>998</v>
      </c>
      <c r="G45" s="639">
        <v>0.97</v>
      </c>
      <c r="H45" s="640" t="s">
        <v>93</v>
      </c>
      <c r="I45" s="641">
        <v>16435</v>
      </c>
      <c r="J45" s="642">
        <f t="shared" si="0"/>
        <v>15941.949999999999</v>
      </c>
      <c r="K45" s="637"/>
      <c r="L45" s="637"/>
      <c r="M45" s="637"/>
      <c r="N45" s="637"/>
      <c r="O45" s="637"/>
    </row>
    <row r="46" spans="1:15" ht="15.5" x14ac:dyDescent="0.25">
      <c r="A46" s="504" t="s">
        <v>514</v>
      </c>
      <c r="B46" s="44"/>
      <c r="C46" s="44"/>
      <c r="D46" s="72"/>
      <c r="E46" s="502"/>
      <c r="F46" s="638" t="s">
        <v>998</v>
      </c>
      <c r="G46" s="639">
        <v>0.97</v>
      </c>
      <c r="H46" s="640" t="s">
        <v>93</v>
      </c>
      <c r="I46" s="641"/>
      <c r="J46" s="642">
        <v>0</v>
      </c>
      <c r="K46" s="637"/>
      <c r="L46" s="637"/>
      <c r="M46" s="637"/>
      <c r="N46" s="637"/>
      <c r="O46" s="637"/>
    </row>
    <row r="47" spans="1:15" ht="15.5" x14ac:dyDescent="0.25">
      <c r="A47" s="28" t="s">
        <v>159</v>
      </c>
      <c r="B47" s="28"/>
      <c r="C47" s="28"/>
      <c r="D47" s="28"/>
      <c r="E47" s="28"/>
      <c r="G47" s="649" t="s">
        <v>999</v>
      </c>
      <c r="H47" s="650"/>
      <c r="I47" s="650"/>
      <c r="J47" s="650"/>
      <c r="K47" s="650"/>
      <c r="L47" s="650"/>
    </row>
    <row r="48" spans="1:15" ht="15.5" x14ac:dyDescent="0.25">
      <c r="A48" s="27" t="s">
        <v>52</v>
      </c>
      <c r="B48" s="33"/>
      <c r="C48" s="33"/>
      <c r="D48" s="28"/>
      <c r="E48" s="28"/>
    </row>
    <row r="49" spans="1:5" ht="15.5" x14ac:dyDescent="0.25">
      <c r="A49" s="29" t="str">
        <f>CONCATENATE("Actual Delinquency for ",E1-3," Tax - (e.g. rate .01213 = 1.213%;  key in 1.2)")</f>
        <v>Actual Delinquency for 2023 Tax - (e.g. rate .01213 = 1.213%;  key in 1.2)</v>
      </c>
      <c r="B49" s="28"/>
      <c r="C49" s="28"/>
      <c r="D49" s="28"/>
      <c r="E49" s="43"/>
    </row>
    <row r="50" spans="1:5" ht="15.5" x14ac:dyDescent="0.25">
      <c r="A50" s="42" t="s">
        <v>418</v>
      </c>
      <c r="B50" s="42"/>
      <c r="C50" s="43"/>
      <c r="D50" s="43"/>
      <c r="E50" s="499"/>
    </row>
    <row r="51" spans="1:5" ht="15.5" x14ac:dyDescent="0.25">
      <c r="A51" s="28"/>
      <c r="B51" s="28"/>
      <c r="C51" s="28"/>
      <c r="D51" s="28"/>
      <c r="E51" s="28"/>
    </row>
    <row r="52" spans="1:5" ht="15" x14ac:dyDescent="0.25">
      <c r="A52" s="495" t="s">
        <v>669</v>
      </c>
      <c r="B52" s="496"/>
      <c r="C52" s="497"/>
      <c r="D52" s="497"/>
      <c r="E52" s="498"/>
    </row>
    <row r="53" spans="1:5" ht="15.5" x14ac:dyDescent="0.25">
      <c r="A53" s="43" t="str">
        <f>CONCATENATE("",E1," State Distribution for Kansas Gas Tax")</f>
        <v>2026 State Distribution for Kansas Gas Tax</v>
      </c>
      <c r="B53" s="70"/>
      <c r="C53" s="70"/>
      <c r="D53" s="73"/>
      <c r="E53" s="494">
        <v>145820</v>
      </c>
    </row>
    <row r="54" spans="1:5" ht="15.5" x14ac:dyDescent="0.25">
      <c r="A54" s="44" t="str">
        <f>CONCATENATE("",E1," County Transfers for Gas**")</f>
        <v>2026 County Transfers for Gas**</v>
      </c>
      <c r="B54" s="74"/>
      <c r="C54" s="74"/>
      <c r="D54" s="75"/>
      <c r="E54" s="61"/>
    </row>
    <row r="55" spans="1:5" ht="15.5" x14ac:dyDescent="0.25">
      <c r="A55" s="44" t="str">
        <f>CONCATENATE("Adjusted ",E1-1," State Distribution for Kansas Gas Tax")</f>
        <v>Adjusted 2025 State Distribution for Kansas Gas Tax</v>
      </c>
      <c r="B55" s="74"/>
      <c r="C55" s="74"/>
      <c r="D55" s="75"/>
      <c r="E55" s="61">
        <v>145300</v>
      </c>
    </row>
    <row r="56" spans="1:5" ht="15.5" x14ac:dyDescent="0.25">
      <c r="A56" s="44" t="str">
        <f>CONCATENATE("Adjusted ",E1-1," County Transfers for Gas**")</f>
        <v>Adjusted 2025 County Transfers for Gas**</v>
      </c>
      <c r="B56" s="74"/>
      <c r="C56" s="74"/>
      <c r="D56" s="75"/>
      <c r="E56" s="61"/>
    </row>
    <row r="57" spans="1:5" x14ac:dyDescent="0.25">
      <c r="A57" s="698" t="s">
        <v>205</v>
      </c>
      <c r="B57" s="699"/>
      <c r="C57" s="699"/>
      <c r="D57" s="699"/>
      <c r="E57" s="699"/>
    </row>
    <row r="58" spans="1:5" x14ac:dyDescent="0.25">
      <c r="A58" s="76" t="s">
        <v>206</v>
      </c>
      <c r="B58" s="76"/>
      <c r="C58" s="76"/>
      <c r="D58" s="76"/>
      <c r="E58" s="76"/>
    </row>
    <row r="59" spans="1:5" x14ac:dyDescent="0.25">
      <c r="A59" s="40"/>
      <c r="B59" s="40"/>
      <c r="C59" s="40"/>
      <c r="D59" s="40"/>
      <c r="E59" s="40"/>
    </row>
    <row r="60" spans="1:5" ht="15" x14ac:dyDescent="0.25">
      <c r="A60" s="700" t="str">
        <f>CONCATENATE("From the ",E1-2," Budget Certificate Page")</f>
        <v>From the 2024 Budget Certificate Page</v>
      </c>
      <c r="B60" s="701"/>
      <c r="C60" s="40"/>
      <c r="D60" s="40"/>
      <c r="E60" s="40"/>
    </row>
    <row r="61" spans="1:5" ht="15.5" x14ac:dyDescent="0.25">
      <c r="A61" s="34"/>
      <c r="B61" s="34" t="str">
        <f>CONCATENATE("",E1-2," Expenditure Amounts")</f>
        <v>2024 Expenditure Amounts</v>
      </c>
      <c r="C61" s="696" t="str">
        <f>CONCATENATE("Note: If the ",E1-2," budget was amended, then the")</f>
        <v>Note: If the 2024 budget was amended, then the</v>
      </c>
      <c r="D61" s="697"/>
      <c r="E61" s="697"/>
    </row>
    <row r="62" spans="1:5" ht="15.5" x14ac:dyDescent="0.25">
      <c r="A62" s="77" t="s">
        <v>4</v>
      </c>
      <c r="B62" s="77" t="s">
        <v>5</v>
      </c>
      <c r="C62" s="78" t="s">
        <v>6</v>
      </c>
      <c r="D62" s="79"/>
      <c r="E62" s="79"/>
    </row>
    <row r="63" spans="1:5" ht="15.5" x14ac:dyDescent="0.25">
      <c r="A63" s="52" t="str">
        <f>inputPrYr!B18</f>
        <v>General</v>
      </c>
      <c r="B63" s="61">
        <v>4574546</v>
      </c>
      <c r="C63" s="78" t="s">
        <v>7</v>
      </c>
      <c r="D63" s="79"/>
      <c r="E63" s="79"/>
    </row>
    <row r="64" spans="1:5" ht="15.5" x14ac:dyDescent="0.25">
      <c r="A64" s="52" t="str">
        <f>inputPrYr!B19</f>
        <v>Debt Service</v>
      </c>
      <c r="B64" s="61">
        <v>1187689</v>
      </c>
      <c r="C64" s="78"/>
      <c r="D64" s="79"/>
      <c r="E64" s="79"/>
    </row>
    <row r="65" spans="1:5" ht="15.5" x14ac:dyDescent="0.25">
      <c r="A65" s="52" t="str">
        <f>inputPrYr!B20</f>
        <v>Library</v>
      </c>
      <c r="B65" s="61">
        <v>343396</v>
      </c>
      <c r="C65" s="40"/>
      <c r="D65" s="40"/>
      <c r="E65" s="40"/>
    </row>
    <row r="66" spans="1:5" ht="15.5" x14ac:dyDescent="0.25">
      <c r="A66" s="52" t="str">
        <f>inputPrYr!B22</f>
        <v>Recreation</v>
      </c>
      <c r="B66" s="61">
        <v>407157</v>
      </c>
      <c r="C66" s="40"/>
      <c r="D66" s="40"/>
      <c r="E66" s="40"/>
    </row>
    <row r="67" spans="1:5" ht="15.5" x14ac:dyDescent="0.25">
      <c r="A67" s="52" t="str">
        <f>inputPrYr!B23</f>
        <v>Noxious Weeds</v>
      </c>
      <c r="B67" s="61">
        <v>10000</v>
      </c>
      <c r="C67" s="40"/>
      <c r="D67" s="40"/>
      <c r="E67" s="40"/>
    </row>
    <row r="68" spans="1:5" ht="15.5" x14ac:dyDescent="0.25">
      <c r="A68" s="52" t="str">
        <f>inputPrYr!B24</f>
        <v>Special Fire/Police</v>
      </c>
      <c r="B68" s="61">
        <v>121594</v>
      </c>
      <c r="C68" s="40"/>
      <c r="D68" s="40"/>
      <c r="E68" s="40"/>
    </row>
    <row r="69" spans="1:5" ht="15.5" x14ac:dyDescent="0.25">
      <c r="A69" s="52" t="str">
        <f>inputPrYr!B25</f>
        <v>Special Liability</v>
      </c>
      <c r="B69" s="61">
        <v>50259</v>
      </c>
      <c r="C69" s="40"/>
      <c r="D69" s="40"/>
      <c r="E69" s="40"/>
    </row>
    <row r="70" spans="1:5" ht="15.5" x14ac:dyDescent="0.25">
      <c r="A70" s="52" t="str">
        <f>inputPrYr!B26</f>
        <v>Employee Benefits</v>
      </c>
      <c r="B70" s="61">
        <v>1848329</v>
      </c>
      <c r="C70" s="40"/>
      <c r="D70" s="40"/>
      <c r="E70" s="40"/>
    </row>
    <row r="71" spans="1:5" ht="15.5" x14ac:dyDescent="0.25">
      <c r="A71" s="52" t="str">
        <f>inputPrYr!B27</f>
        <v>Economic Development</v>
      </c>
      <c r="B71" s="61">
        <v>2561214</v>
      </c>
      <c r="C71" s="40"/>
      <c r="D71" s="40"/>
      <c r="E71" s="40"/>
    </row>
    <row r="72" spans="1:5" ht="15.5" x14ac:dyDescent="0.25">
      <c r="A72" s="52">
        <f>inputPrYr!B28</f>
        <v>0</v>
      </c>
      <c r="B72" s="61"/>
      <c r="C72" s="40"/>
      <c r="D72" s="40"/>
      <c r="E72" s="40"/>
    </row>
    <row r="73" spans="1:5" ht="15.5" x14ac:dyDescent="0.25">
      <c r="A73" s="52">
        <f>inputPrYr!B29</f>
        <v>0</v>
      </c>
      <c r="B73" s="61"/>
      <c r="C73" s="40"/>
      <c r="D73" s="40"/>
      <c r="E73" s="40"/>
    </row>
    <row r="74" spans="1:5" ht="15.5" x14ac:dyDescent="0.25">
      <c r="A74" s="52">
        <f>inputPrYr!B30</f>
        <v>0</v>
      </c>
      <c r="B74" s="61"/>
      <c r="C74" s="40"/>
      <c r="D74" s="40"/>
      <c r="E74" s="40"/>
    </row>
    <row r="75" spans="1:5" ht="15.5" x14ac:dyDescent="0.25">
      <c r="A75" s="52">
        <f>inputPrYr!B31</f>
        <v>0</v>
      </c>
      <c r="B75" s="61"/>
      <c r="C75" s="40"/>
      <c r="D75" s="40"/>
      <c r="E75" s="40"/>
    </row>
    <row r="76" spans="1:5" ht="15.5" x14ac:dyDescent="0.25">
      <c r="A76" s="52" t="str">
        <f>inputPrYr!B35</f>
        <v>Special Highway</v>
      </c>
      <c r="B76" s="61">
        <v>1078900</v>
      </c>
      <c r="C76" s="40"/>
      <c r="D76" s="40"/>
      <c r="E76" s="40"/>
    </row>
    <row r="77" spans="1:5" ht="15.5" x14ac:dyDescent="0.25">
      <c r="A77" s="52" t="str">
        <f>inputPrYr!B36</f>
        <v>Electric Utility</v>
      </c>
      <c r="B77" s="61">
        <v>8159366</v>
      </c>
      <c r="C77" s="40"/>
      <c r="D77" s="40"/>
      <c r="E77" s="40"/>
    </row>
    <row r="78" spans="1:5" ht="15.5" x14ac:dyDescent="0.25">
      <c r="A78" s="52" t="str">
        <f>inputPrYr!B37</f>
        <v>Water Utility</v>
      </c>
      <c r="B78" s="61">
        <v>1767350</v>
      </c>
      <c r="C78" s="40"/>
      <c r="D78" s="40"/>
      <c r="E78" s="40"/>
    </row>
    <row r="79" spans="1:5" ht="15.5" x14ac:dyDescent="0.25">
      <c r="A79" s="52" t="str">
        <f>inputPrYr!B38</f>
        <v>Sewage Disposal Utility</v>
      </c>
      <c r="B79" s="61">
        <v>1533734</v>
      </c>
      <c r="C79" s="40"/>
      <c r="D79" s="40"/>
      <c r="E79" s="40"/>
    </row>
    <row r="80" spans="1:5" ht="15.5" x14ac:dyDescent="0.25">
      <c r="A80" s="52" t="str">
        <f>inputPrYr!B39</f>
        <v>Solid Waste Disposal Utility</v>
      </c>
      <c r="B80" s="61">
        <v>846405</v>
      </c>
      <c r="C80" s="40"/>
      <c r="D80" s="40"/>
      <c r="E80" s="40"/>
    </row>
    <row r="81" spans="1:5" ht="15.5" x14ac:dyDescent="0.25">
      <c r="A81" s="52" t="str">
        <f>inputPrYr!B40</f>
        <v>Convention/Tourism</v>
      </c>
      <c r="B81" s="61">
        <v>550320</v>
      </c>
      <c r="C81" s="40"/>
      <c r="D81" s="40"/>
      <c r="E81" s="40"/>
    </row>
    <row r="82" spans="1:5" ht="15.5" x14ac:dyDescent="0.25">
      <c r="A82" s="52" t="str">
        <f>inputPrYr!B41</f>
        <v>Law Enforcement Trust</v>
      </c>
      <c r="B82" s="61">
        <v>168269</v>
      </c>
      <c r="C82" s="40"/>
      <c r="D82" s="40"/>
      <c r="E82" s="40"/>
    </row>
    <row r="83" spans="1:5" ht="15.5" x14ac:dyDescent="0.25">
      <c r="A83" s="52" t="str">
        <f>inputPrYr!B42</f>
        <v>Special Parks/Recreation</v>
      </c>
      <c r="B83" s="61">
        <v>141500</v>
      </c>
      <c r="C83" s="40"/>
      <c r="D83" s="40"/>
      <c r="E83" s="40"/>
    </row>
    <row r="84" spans="1:5" ht="15.5" x14ac:dyDescent="0.25">
      <c r="A84" s="52" t="str">
        <f>inputPrYr!B43</f>
        <v>E911</v>
      </c>
      <c r="B84" s="61">
        <v>71373</v>
      </c>
      <c r="C84" s="40"/>
      <c r="D84" s="40"/>
      <c r="E84" s="40"/>
    </row>
    <row r="85" spans="1:5" ht="15.5" x14ac:dyDescent="0.25">
      <c r="A85" s="52" t="str">
        <f>inputPrYr!B44</f>
        <v>Colby Land Bank</v>
      </c>
      <c r="B85" s="61"/>
      <c r="C85" s="40"/>
      <c r="D85" s="40"/>
      <c r="E85" s="40"/>
    </row>
    <row r="86" spans="1:5" ht="15.5" x14ac:dyDescent="0.25">
      <c r="A86" s="52">
        <f>inputPrYr!B45</f>
        <v>0</v>
      </c>
      <c r="B86" s="61"/>
      <c r="C86" s="40"/>
      <c r="D86" s="40"/>
      <c r="E86" s="40"/>
    </row>
    <row r="87" spans="1:5" ht="15.5" x14ac:dyDescent="0.25">
      <c r="A87" s="52">
        <f>inputPrYr!B46</f>
        <v>0</v>
      </c>
      <c r="B87" s="61"/>
      <c r="C87" s="40"/>
      <c r="D87" s="40"/>
      <c r="E87" s="40"/>
    </row>
    <row r="88" spans="1:5" ht="15.5" x14ac:dyDescent="0.25">
      <c r="A88" s="52">
        <f>inputPrYr!B47</f>
        <v>0</v>
      </c>
      <c r="B88" s="61"/>
      <c r="C88" s="40"/>
      <c r="D88" s="40"/>
      <c r="E88" s="40"/>
    </row>
    <row r="89" spans="1:5" ht="15.5" x14ac:dyDescent="0.25">
      <c r="A89" s="52">
        <f>inputPrYr!B48</f>
        <v>0</v>
      </c>
      <c r="B89" s="61"/>
      <c r="C89" s="40"/>
      <c r="D89" s="40"/>
      <c r="E89" s="40"/>
    </row>
    <row r="90" spans="1:5" ht="15.5" x14ac:dyDescent="0.25">
      <c r="A90" s="52">
        <f>inputPrYr!B49</f>
        <v>0</v>
      </c>
      <c r="B90" s="61"/>
      <c r="C90" s="40"/>
      <c r="D90" s="40"/>
      <c r="E90" s="40"/>
    </row>
    <row r="91" spans="1:5" ht="15.5" x14ac:dyDescent="0.25">
      <c r="A91" s="52">
        <f>inputPrYr!B50</f>
        <v>0</v>
      </c>
      <c r="B91" s="61"/>
      <c r="C91" s="40"/>
      <c r="D91" s="40"/>
      <c r="E91" s="40"/>
    </row>
    <row r="92" spans="1:5" ht="15.5" x14ac:dyDescent="0.25">
      <c r="A92" s="52">
        <f>inputPrYr!B52</f>
        <v>0</v>
      </c>
      <c r="B92" s="61"/>
      <c r="C92" s="40"/>
      <c r="D92" s="40"/>
      <c r="E92" s="40"/>
    </row>
    <row r="93" spans="1:5" ht="15.5" x14ac:dyDescent="0.25">
      <c r="A93" s="52">
        <f>inputPrYr!B53</f>
        <v>0</v>
      </c>
      <c r="B93" s="61"/>
      <c r="C93" s="40"/>
      <c r="D93" s="40"/>
      <c r="E93" s="40"/>
    </row>
    <row r="94" spans="1:5" ht="15.5" x14ac:dyDescent="0.25">
      <c r="A94" s="52">
        <f>inputPrYr!B54</f>
        <v>0</v>
      </c>
      <c r="B94" s="61"/>
      <c r="C94" s="40"/>
      <c r="D94" s="40"/>
      <c r="E94" s="40"/>
    </row>
    <row r="95" spans="1:5" ht="15.5" x14ac:dyDescent="0.25">
      <c r="A95" s="52">
        <f>inputPrYr!B55</f>
        <v>0</v>
      </c>
      <c r="B95" s="61"/>
      <c r="C95" s="40"/>
      <c r="D95" s="40"/>
      <c r="E95" s="40"/>
    </row>
    <row r="97" spans="2:2" ht="15.5" x14ac:dyDescent="0.25">
      <c r="B97" s="643">
        <f>SUM(B63:B96)</f>
        <v>25421401</v>
      </c>
    </row>
  </sheetData>
  <mergeCells count="5">
    <mergeCell ref="C61:E61"/>
    <mergeCell ref="A23:B23"/>
    <mergeCell ref="A57:E57"/>
    <mergeCell ref="A3:E3"/>
    <mergeCell ref="A60:B60"/>
  </mergeCells>
  <phoneticPr fontId="8" type="noConversion"/>
  <pageMargins left="0.75" right="0.75" top="1" bottom="1" header="0.5" footer="0.5"/>
  <pageSetup scale="4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00B0F0"/>
    <pageSetUpPr fitToPage="1"/>
  </sheetPr>
  <dimension ref="B1:E52"/>
  <sheetViews>
    <sheetView workbookViewId="0">
      <selection activeCell="B20" sqref="B20"/>
    </sheetView>
  </sheetViews>
  <sheetFormatPr defaultColWidth="8.9140625" defaultRowHeight="12.5" x14ac:dyDescent="0.25"/>
  <cols>
    <col min="1" max="1" width="2.4140625" style="64" customWidth="1"/>
    <col min="2" max="2" width="31.08203125" style="64" customWidth="1"/>
    <col min="3" max="4" width="15.75" style="64" customWidth="1"/>
    <col min="5" max="5" width="16.33203125" style="64" customWidth="1"/>
    <col min="6" max="16384" width="8.9140625" style="64"/>
  </cols>
  <sheetData>
    <row r="1" spans="2:5" ht="15.5" x14ac:dyDescent="0.25">
      <c r="B1" s="47" t="str">
        <f>(inputPrYr!D3)</f>
        <v>The City of Colby</v>
      </c>
      <c r="C1" s="28"/>
      <c r="D1" s="28"/>
      <c r="E1" s="132">
        <f>inputPrYr!$C$6</f>
        <v>2026</v>
      </c>
    </row>
    <row r="2" spans="2:5" ht="15.5" x14ac:dyDescent="0.25">
      <c r="B2" s="28"/>
      <c r="C2" s="28"/>
      <c r="D2" s="28"/>
      <c r="E2" s="107"/>
    </row>
    <row r="3" spans="2:5" ht="15.5" x14ac:dyDescent="0.25">
      <c r="B3" s="160" t="s">
        <v>120</v>
      </c>
      <c r="C3" s="201"/>
      <c r="D3" s="201"/>
      <c r="E3" s="202"/>
    </row>
    <row r="4" spans="2:5" ht="15.5" x14ac:dyDescent="0.25">
      <c r="B4" s="29" t="s">
        <v>57</v>
      </c>
      <c r="C4" s="443" t="s">
        <v>475</v>
      </c>
      <c r="D4" s="444" t="s">
        <v>476</v>
      </c>
      <c r="E4" s="87" t="s">
        <v>477</v>
      </c>
    </row>
    <row r="5" spans="2:5" ht="15.5" x14ac:dyDescent="0.25">
      <c r="B5" s="334">
        <f>(inputPrYr!B52)</f>
        <v>0</v>
      </c>
      <c r="C5" s="137" t="str">
        <f>CONCATENATE("Actual for ",E1-2,"")</f>
        <v>Actual for 2024</v>
      </c>
      <c r="D5" s="137" t="str">
        <f>CONCATENATE("Estimate for ",E1-1,"")</f>
        <v>Estimate for 2025</v>
      </c>
      <c r="E5" s="122" t="str">
        <f>CONCATENATE("Year for ",E1,"")</f>
        <v>Year for 2026</v>
      </c>
    </row>
    <row r="6" spans="2:5" ht="15.5" x14ac:dyDescent="0.25">
      <c r="B6" s="93" t="s">
        <v>133</v>
      </c>
      <c r="C6" s="167"/>
      <c r="D6" s="165">
        <f>C45</f>
        <v>0</v>
      </c>
      <c r="E6" s="140">
        <f>D45</f>
        <v>0</v>
      </c>
    </row>
    <row r="7" spans="2:5" ht="15.5" x14ac:dyDescent="0.25">
      <c r="B7" s="191" t="s">
        <v>135</v>
      </c>
      <c r="C7" s="102"/>
      <c r="D7" s="102"/>
      <c r="E7" s="52"/>
    </row>
    <row r="8" spans="2:5" ht="15.5" x14ac:dyDescent="0.25">
      <c r="B8" s="182"/>
      <c r="C8" s="167"/>
      <c r="D8" s="167"/>
      <c r="E8" s="170"/>
    </row>
    <row r="9" spans="2:5" ht="15.5" x14ac:dyDescent="0.25">
      <c r="B9" s="182"/>
      <c r="C9" s="167"/>
      <c r="D9" s="167"/>
      <c r="E9" s="170"/>
    </row>
    <row r="10" spans="2:5" ht="15.5" x14ac:dyDescent="0.25">
      <c r="B10" s="182"/>
      <c r="C10" s="167"/>
      <c r="D10" s="167"/>
      <c r="E10" s="170"/>
    </row>
    <row r="11" spans="2:5" ht="15.5" x14ac:dyDescent="0.25">
      <c r="B11" s="182"/>
      <c r="C11" s="167"/>
      <c r="D11" s="167"/>
      <c r="E11" s="170"/>
    </row>
    <row r="12" spans="2:5" ht="15.5" x14ac:dyDescent="0.25">
      <c r="B12" s="196"/>
      <c r="C12" s="167"/>
      <c r="D12" s="167"/>
      <c r="E12" s="66"/>
    </row>
    <row r="13" spans="2:5" ht="15.5" x14ac:dyDescent="0.25">
      <c r="B13" s="182"/>
      <c r="C13" s="167"/>
      <c r="D13" s="167"/>
      <c r="E13" s="170"/>
    </row>
    <row r="14" spans="2:5" ht="15.5" x14ac:dyDescent="0.25">
      <c r="B14" s="203" t="s">
        <v>63</v>
      </c>
      <c r="C14" s="167"/>
      <c r="D14" s="167"/>
      <c r="E14" s="170"/>
    </row>
    <row r="15" spans="2:5" ht="15.5" x14ac:dyDescent="0.25">
      <c r="B15" s="102" t="s">
        <v>9</v>
      </c>
      <c r="C15" s="167"/>
      <c r="D15" s="167"/>
      <c r="E15" s="170"/>
    </row>
    <row r="16" spans="2:5" ht="15.5" x14ac:dyDescent="0.25">
      <c r="B16" s="162" t="s">
        <v>350</v>
      </c>
      <c r="C16" s="172" t="str">
        <f>IF(C17*0.1&lt;C15,"Exceed 10% Rule","")</f>
        <v/>
      </c>
      <c r="D16" s="172" t="str">
        <f>IF(D17*0.1&lt;D15,"Exceed 10% Rule","")</f>
        <v/>
      </c>
      <c r="E16" s="204" t="str">
        <f>IF(E17*0.1&lt;E15,"Exceed 10% Rule","")</f>
        <v/>
      </c>
    </row>
    <row r="17" spans="2:5" ht="15" x14ac:dyDescent="0.25">
      <c r="B17" s="174" t="s">
        <v>64</v>
      </c>
      <c r="C17" s="176">
        <f>SUM(C8:C15)</f>
        <v>0</v>
      </c>
      <c r="D17" s="176">
        <f>SUM(D8:D15)</f>
        <v>0</v>
      </c>
      <c r="E17" s="177">
        <f>SUM(E8:E15)</f>
        <v>0</v>
      </c>
    </row>
    <row r="18" spans="2:5" ht="15" x14ac:dyDescent="0.25">
      <c r="B18" s="174" t="s">
        <v>65</v>
      </c>
      <c r="C18" s="176">
        <f>C6+C17</f>
        <v>0</v>
      </c>
      <c r="D18" s="176">
        <f>D6+D17</f>
        <v>0</v>
      </c>
      <c r="E18" s="177">
        <f>E6+E17</f>
        <v>0</v>
      </c>
    </row>
    <row r="19" spans="2:5" ht="15.5" x14ac:dyDescent="0.25">
      <c r="B19" s="93" t="s">
        <v>67</v>
      </c>
      <c r="C19" s="102"/>
      <c r="D19" s="102"/>
      <c r="E19" s="52"/>
    </row>
    <row r="20" spans="2:5" ht="15.5" x14ac:dyDescent="0.25">
      <c r="B20" s="182" t="s">
        <v>167</v>
      </c>
      <c r="C20" s="167"/>
      <c r="D20" s="167"/>
      <c r="E20" s="170"/>
    </row>
    <row r="21" spans="2:5" ht="15.5" x14ac:dyDescent="0.25">
      <c r="B21" s="182" t="s">
        <v>11</v>
      </c>
      <c r="C21" s="167"/>
      <c r="D21" s="167"/>
      <c r="E21" s="170"/>
    </row>
    <row r="22" spans="2:5" ht="15.5" x14ac:dyDescent="0.25">
      <c r="B22" s="182"/>
      <c r="C22" s="167"/>
      <c r="D22" s="167"/>
      <c r="E22" s="66"/>
    </row>
    <row r="23" spans="2:5" ht="15.5" x14ac:dyDescent="0.25">
      <c r="B23" s="182"/>
      <c r="C23" s="167"/>
      <c r="D23" s="167"/>
      <c r="E23" s="66"/>
    </row>
    <row r="24" spans="2:5" ht="15.5" x14ac:dyDescent="0.25">
      <c r="B24" s="182"/>
      <c r="C24" s="167"/>
      <c r="D24" s="167"/>
      <c r="E24" s="66"/>
    </row>
    <row r="25" spans="2:5" ht="15.5" x14ac:dyDescent="0.25">
      <c r="B25" s="182"/>
      <c r="C25" s="167"/>
      <c r="D25" s="167"/>
      <c r="E25" s="66"/>
    </row>
    <row r="26" spans="2:5" ht="15.5" x14ac:dyDescent="0.25">
      <c r="B26" s="182"/>
      <c r="C26" s="167"/>
      <c r="D26" s="167"/>
      <c r="E26" s="66"/>
    </row>
    <row r="27" spans="2:5" ht="15.5" x14ac:dyDescent="0.25">
      <c r="B27" s="182"/>
      <c r="C27" s="167"/>
      <c r="D27" s="167"/>
      <c r="E27" s="66"/>
    </row>
    <row r="28" spans="2:5" ht="15.5" x14ac:dyDescent="0.25">
      <c r="B28" s="182"/>
      <c r="C28" s="167"/>
      <c r="D28" s="167"/>
      <c r="E28" s="66"/>
    </row>
    <row r="29" spans="2:5" ht="15.5" x14ac:dyDescent="0.25">
      <c r="B29" s="182"/>
      <c r="C29" s="167"/>
      <c r="D29" s="167"/>
      <c r="E29" s="66"/>
    </row>
    <row r="30" spans="2:5" ht="15.5" x14ac:dyDescent="0.25">
      <c r="B30" s="182"/>
      <c r="C30" s="167"/>
      <c r="D30" s="167"/>
      <c r="E30" s="66"/>
    </row>
    <row r="31" spans="2:5" ht="15.5" x14ac:dyDescent="0.25">
      <c r="B31" s="182"/>
      <c r="C31" s="167"/>
      <c r="D31" s="167"/>
      <c r="E31" s="66"/>
    </row>
    <row r="32" spans="2:5" ht="15.5" x14ac:dyDescent="0.25">
      <c r="B32" s="182"/>
      <c r="C32" s="167"/>
      <c r="D32" s="167"/>
      <c r="E32" s="170"/>
    </row>
    <row r="33" spans="2:5" ht="15.5" x14ac:dyDescent="0.25">
      <c r="B33" s="182"/>
      <c r="C33" s="167"/>
      <c r="D33" s="167"/>
      <c r="E33" s="170"/>
    </row>
    <row r="34" spans="2:5" ht="15.5" x14ac:dyDescent="0.25">
      <c r="B34" s="182"/>
      <c r="C34" s="167"/>
      <c r="D34" s="167"/>
      <c r="E34" s="170"/>
    </row>
    <row r="35" spans="2:5" ht="15.5" x14ac:dyDescent="0.25">
      <c r="B35" s="182"/>
      <c r="C35" s="167"/>
      <c r="D35" s="167"/>
      <c r="E35" s="170"/>
    </row>
    <row r="36" spans="2:5" ht="15.5" x14ac:dyDescent="0.25">
      <c r="B36" s="182"/>
      <c r="C36" s="167"/>
      <c r="D36" s="167"/>
      <c r="E36" s="170"/>
    </row>
    <row r="37" spans="2:5" ht="15.5" x14ac:dyDescent="0.25">
      <c r="B37" s="182"/>
      <c r="C37" s="167"/>
      <c r="D37" s="167"/>
      <c r="E37" s="170"/>
    </row>
    <row r="38" spans="2:5" ht="15.5" x14ac:dyDescent="0.25">
      <c r="B38" s="182"/>
      <c r="C38" s="167"/>
      <c r="D38" s="167"/>
      <c r="E38" s="170"/>
    </row>
    <row r="39" spans="2:5" ht="15.5" x14ac:dyDescent="0.25">
      <c r="B39" s="182"/>
      <c r="C39" s="167"/>
      <c r="D39" s="167"/>
      <c r="E39" s="170"/>
    </row>
    <row r="40" spans="2:5" ht="15.5" x14ac:dyDescent="0.25">
      <c r="B40" s="182"/>
      <c r="C40" s="167"/>
      <c r="D40" s="167"/>
      <c r="E40" s="170"/>
    </row>
    <row r="41" spans="2:5" ht="15.5" x14ac:dyDescent="0.25">
      <c r="B41" s="183" t="str">
        <f>CONCATENATE("Cash Reserve (",E1," column)")</f>
        <v>Cash Reserve (2026 column)</v>
      </c>
      <c r="C41" s="167"/>
      <c r="D41" s="167"/>
      <c r="E41" s="170"/>
    </row>
    <row r="42" spans="2:5" ht="15.5" x14ac:dyDescent="0.25">
      <c r="B42" s="183" t="s">
        <v>9</v>
      </c>
      <c r="C42" s="167"/>
      <c r="D42" s="167"/>
      <c r="E42" s="170"/>
    </row>
    <row r="43" spans="2:5" ht="15.5" x14ac:dyDescent="0.25">
      <c r="B43" s="183" t="s">
        <v>351</v>
      </c>
      <c r="C43" s="172" t="str">
        <f>IF(C44*0.1&lt;C42,"Exceed 10% Rule","")</f>
        <v/>
      </c>
      <c r="D43" s="172" t="str">
        <f>IF(D44*0.1&lt;D42,"Exceed 10% Rule","")</f>
        <v/>
      </c>
      <c r="E43" s="204" t="str">
        <f>IF(E44*0.1&lt;E42,"Exceed 10% Rule","")</f>
        <v/>
      </c>
    </row>
    <row r="44" spans="2:5" ht="15" x14ac:dyDescent="0.25">
      <c r="B44" s="174" t="s">
        <v>71</v>
      </c>
      <c r="C44" s="176">
        <f>SUM(C20:C42)</f>
        <v>0</v>
      </c>
      <c r="D44" s="176">
        <f>SUM(D20:D42)</f>
        <v>0</v>
      </c>
      <c r="E44" s="177">
        <f>SUM(E20:E42)</f>
        <v>0</v>
      </c>
    </row>
    <row r="45" spans="2:5" ht="15.5" x14ac:dyDescent="0.25">
      <c r="B45" s="93" t="s">
        <v>134</v>
      </c>
      <c r="C45" s="180">
        <f>C18-C44</f>
        <v>0</v>
      </c>
      <c r="D45" s="180">
        <f>D18-D44</f>
        <v>0</v>
      </c>
      <c r="E45" s="50">
        <f>E18-E44</f>
        <v>0</v>
      </c>
    </row>
    <row r="46" spans="2:5" ht="15.5" x14ac:dyDescent="0.25">
      <c r="B46" s="108" t="str">
        <f>CONCATENATE("",E1-2,"/",E1-1,"/",E1," Budget Authority Amount:")</f>
        <v>2024/2025/2026 Budget Authority Amount:</v>
      </c>
      <c r="C46" s="447">
        <f>inputOth!B92</f>
        <v>0</v>
      </c>
      <c r="D46" s="447">
        <f>inputPrYr!D52</f>
        <v>0</v>
      </c>
      <c r="E46" s="459">
        <f>E44</f>
        <v>0</v>
      </c>
    </row>
    <row r="47" spans="2:5" ht="15.5" x14ac:dyDescent="0.25">
      <c r="B47" s="80"/>
      <c r="C47" s="185" t="str">
        <f>IF(C44&gt;C46,"See Tab A","")</f>
        <v/>
      </c>
      <c r="D47" s="185" t="str">
        <f>IF(D44&gt;D46,"See Tab C","")</f>
        <v/>
      </c>
      <c r="E47" s="460" t="str">
        <f>IF(E45&lt;0,"See Tab E","")</f>
        <v/>
      </c>
    </row>
    <row r="48" spans="2:5" ht="15" x14ac:dyDescent="0.25">
      <c r="B48" s="542" t="s">
        <v>535</v>
      </c>
      <c r="C48" s="529" t="str">
        <f>IF(C45&lt;0,"See Tab B","")</f>
        <v/>
      </c>
      <c r="D48" s="529" t="str">
        <f>IF(D45&lt;0,"See Tab D","")</f>
        <v/>
      </c>
      <c r="E48" s="533"/>
    </row>
    <row r="49" spans="2:5" ht="15.5" x14ac:dyDescent="0.25">
      <c r="B49" s="530"/>
      <c r="C49" s="185"/>
      <c r="D49" s="185"/>
      <c r="E49" s="534"/>
    </row>
    <row r="50" spans="2:5" ht="15.5" x14ac:dyDescent="0.25">
      <c r="B50" s="531"/>
      <c r="C50" s="532"/>
      <c r="D50" s="532"/>
      <c r="E50" s="73"/>
    </row>
    <row r="51" spans="2:5" x14ac:dyDescent="0.25">
      <c r="B51" s="40"/>
      <c r="C51" s="40"/>
      <c r="D51" s="40"/>
      <c r="E51" s="40"/>
    </row>
    <row r="52" spans="2:5" ht="15.5" x14ac:dyDescent="0.25">
      <c r="B52" s="274" t="s">
        <v>74</v>
      </c>
      <c r="C52" s="465"/>
      <c r="D52" s="40"/>
      <c r="E52" s="40"/>
    </row>
  </sheetData>
  <sheetProtection sheet="1" objects="1" scenarios="1"/>
  <phoneticPr fontId="8" type="noConversion"/>
  <conditionalFormatting sqref="C15">
    <cfRule type="cellIs" dxfId="45" priority="2" stopIfTrue="1" operator="greaterThan">
      <formula>$C$17*0.1</formula>
    </cfRule>
  </conditionalFormatting>
  <conditionalFormatting sqref="C42">
    <cfRule type="cellIs" dxfId="44" priority="7" stopIfTrue="1" operator="greaterThan">
      <formula>$C$44*0.1</formula>
    </cfRule>
  </conditionalFormatting>
  <conditionalFormatting sqref="C44">
    <cfRule type="cellIs" dxfId="43" priority="10" stopIfTrue="1" operator="greaterThan">
      <formula>$C$46</formula>
    </cfRule>
  </conditionalFormatting>
  <conditionalFormatting sqref="C45">
    <cfRule type="cellIs" dxfId="42" priority="11" stopIfTrue="1" operator="lessThan">
      <formula>0</formula>
    </cfRule>
  </conditionalFormatting>
  <conditionalFormatting sqref="D15">
    <cfRule type="cellIs" dxfId="41" priority="3" stopIfTrue="1" operator="greaterThan">
      <formula>$D$17*0.1</formula>
    </cfRule>
  </conditionalFormatting>
  <conditionalFormatting sqref="D42">
    <cfRule type="cellIs" dxfId="40" priority="8" stopIfTrue="1" operator="greaterThan">
      <formula>$D$44*0.1</formula>
    </cfRule>
  </conditionalFormatting>
  <conditionalFormatting sqref="D44">
    <cfRule type="cellIs" dxfId="39" priority="9" stopIfTrue="1" operator="greaterThan">
      <formula>$D$46</formula>
    </cfRule>
  </conditionalFormatting>
  <conditionalFormatting sqref="D45">
    <cfRule type="cellIs" dxfId="38" priority="4" stopIfTrue="1" operator="lessThan">
      <formula>0</formula>
    </cfRule>
  </conditionalFormatting>
  <conditionalFormatting sqref="E15">
    <cfRule type="cellIs" dxfId="37" priority="5" stopIfTrue="1" operator="greaterThan">
      <formula>$E$17*0.1</formula>
    </cfRule>
  </conditionalFormatting>
  <conditionalFormatting sqref="E42">
    <cfRule type="cellIs" dxfId="36" priority="6" stopIfTrue="1" operator="greaterThan">
      <formula>$E$44*0.1</formula>
    </cfRule>
  </conditionalFormatting>
  <conditionalFormatting sqref="E45:E46">
    <cfRule type="cellIs" dxfId="35" priority="1" stopIfTrue="1" operator="lessThan">
      <formula>0</formula>
    </cfRule>
  </conditionalFormatting>
  <pageMargins left="0.75" right="0.75" top="1" bottom="1" header="0.5" footer="0.5"/>
  <pageSetup scale="80" orientation="portrait"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F0"/>
    <pageSetUpPr fitToPage="1"/>
  </sheetPr>
  <dimension ref="B1:E52"/>
  <sheetViews>
    <sheetView topLeftCell="A7" workbookViewId="0">
      <selection activeCell="B20" sqref="B20"/>
    </sheetView>
  </sheetViews>
  <sheetFormatPr defaultColWidth="8.9140625" defaultRowHeight="12.5" x14ac:dyDescent="0.25"/>
  <cols>
    <col min="1" max="1" width="2.4140625" style="64" customWidth="1"/>
    <col min="2" max="2" width="31.08203125" style="64" customWidth="1"/>
    <col min="3" max="4" width="15.75" style="64" customWidth="1"/>
    <col min="5" max="5" width="16.25" style="64" customWidth="1"/>
    <col min="6" max="16384" width="8.9140625" style="64"/>
  </cols>
  <sheetData>
    <row r="1" spans="2:5" ht="15.5" x14ac:dyDescent="0.25">
      <c r="B1" s="47" t="str">
        <f>(inputPrYr!D3)</f>
        <v>The City of Colby</v>
      </c>
      <c r="C1" s="28"/>
      <c r="D1" s="28"/>
      <c r="E1" s="132">
        <f>inputPrYr!$C$6</f>
        <v>2026</v>
      </c>
    </row>
    <row r="2" spans="2:5" ht="15.5" x14ac:dyDescent="0.25">
      <c r="B2" s="28"/>
      <c r="C2" s="28"/>
      <c r="D2" s="28"/>
      <c r="E2" s="107"/>
    </row>
    <row r="3" spans="2:5" ht="15.5" x14ac:dyDescent="0.25">
      <c r="B3" s="160" t="s">
        <v>120</v>
      </c>
      <c r="C3" s="201"/>
      <c r="D3" s="201"/>
      <c r="E3" s="202"/>
    </row>
    <row r="4" spans="2:5" ht="15.5" x14ac:dyDescent="0.25">
      <c r="B4" s="29" t="s">
        <v>57</v>
      </c>
      <c r="C4" s="443" t="s">
        <v>475</v>
      </c>
      <c r="D4" s="444" t="s">
        <v>476</v>
      </c>
      <c r="E4" s="87" t="s">
        <v>477</v>
      </c>
    </row>
    <row r="5" spans="2:5" ht="15.5" x14ac:dyDescent="0.25">
      <c r="B5" s="334">
        <f>(inputPrYr!B53)</f>
        <v>0</v>
      </c>
      <c r="C5" s="137" t="str">
        <f>CONCATENATE("Actual for ",E1-2,"")</f>
        <v>Actual for 2024</v>
      </c>
      <c r="D5" s="137" t="str">
        <f>CONCATENATE("Estimate for ",E1-1,"")</f>
        <v>Estimate for 2025</v>
      </c>
      <c r="E5" s="122" t="str">
        <f>CONCATENATE("Year for ",E1,"")</f>
        <v>Year for 2026</v>
      </c>
    </row>
    <row r="6" spans="2:5" ht="15.5" x14ac:dyDescent="0.25">
      <c r="B6" s="93" t="s">
        <v>133</v>
      </c>
      <c r="C6" s="39"/>
      <c r="D6" s="140">
        <f>C45</f>
        <v>0</v>
      </c>
      <c r="E6" s="140">
        <f>D45</f>
        <v>0</v>
      </c>
    </row>
    <row r="7" spans="2:5" ht="15.5" x14ac:dyDescent="0.25">
      <c r="B7" s="191" t="s">
        <v>135</v>
      </c>
      <c r="C7" s="52"/>
      <c r="D7" s="52"/>
      <c r="E7" s="52"/>
    </row>
    <row r="8" spans="2:5" ht="15.5" x14ac:dyDescent="0.25">
      <c r="B8" s="182"/>
      <c r="C8" s="170"/>
      <c r="D8" s="170"/>
      <c r="E8" s="170"/>
    </row>
    <row r="9" spans="2:5" ht="15.5" x14ac:dyDescent="0.25">
      <c r="B9" s="182"/>
      <c r="C9" s="170"/>
      <c r="D9" s="170"/>
      <c r="E9" s="170"/>
    </row>
    <row r="10" spans="2:5" ht="15.5" x14ac:dyDescent="0.25">
      <c r="B10" s="182"/>
      <c r="C10" s="170"/>
      <c r="D10" s="170"/>
      <c r="E10" s="170"/>
    </row>
    <row r="11" spans="2:5" ht="15.5" x14ac:dyDescent="0.25">
      <c r="B11" s="182"/>
      <c r="C11" s="170"/>
      <c r="D11" s="170"/>
      <c r="E11" s="170"/>
    </row>
    <row r="12" spans="2:5" ht="15.5" x14ac:dyDescent="0.25">
      <c r="B12" s="182"/>
      <c r="C12" s="170"/>
      <c r="D12" s="170"/>
      <c r="E12" s="170"/>
    </row>
    <row r="13" spans="2:5" ht="15.5" x14ac:dyDescent="0.25">
      <c r="B13" s="196"/>
      <c r="C13" s="66"/>
      <c r="D13" s="66"/>
      <c r="E13" s="66"/>
    </row>
    <row r="14" spans="2:5" ht="15.5" x14ac:dyDescent="0.25">
      <c r="B14" s="182"/>
      <c r="C14" s="170"/>
      <c r="D14" s="170"/>
      <c r="E14" s="170"/>
    </row>
    <row r="15" spans="2:5" ht="15.5" x14ac:dyDescent="0.25">
      <c r="B15" s="203" t="s">
        <v>63</v>
      </c>
      <c r="C15" s="170"/>
      <c r="D15" s="170"/>
      <c r="E15" s="170"/>
    </row>
    <row r="16" spans="2:5" ht="15.5" x14ac:dyDescent="0.25">
      <c r="B16" s="102" t="s">
        <v>9</v>
      </c>
      <c r="C16" s="170"/>
      <c r="D16" s="164"/>
      <c r="E16" s="164"/>
    </row>
    <row r="17" spans="2:5" ht="15.5" x14ac:dyDescent="0.25">
      <c r="B17" s="162" t="s">
        <v>350</v>
      </c>
      <c r="C17" s="204" t="str">
        <f>IF(C18*0.1&lt;C16,"Exceed 10% Rule","")</f>
        <v/>
      </c>
      <c r="D17" s="173" t="str">
        <f>IF(D18*0.1&lt;D16,"Exceed 10% Rule","")</f>
        <v/>
      </c>
      <c r="E17" s="173" t="str">
        <f>IF(E18*0.1&lt;E16,"Exceed 10% Rule","")</f>
        <v/>
      </c>
    </row>
    <row r="18" spans="2:5" ht="15" x14ac:dyDescent="0.25">
      <c r="B18" s="174" t="s">
        <v>64</v>
      </c>
      <c r="C18" s="177">
        <f>SUM(C8:C16)</f>
        <v>0</v>
      </c>
      <c r="D18" s="177">
        <f>SUM(D8:D16)</f>
        <v>0</v>
      </c>
      <c r="E18" s="177">
        <f>SUM(E8:E16)</f>
        <v>0</v>
      </c>
    </row>
    <row r="19" spans="2:5" ht="15" x14ac:dyDescent="0.25">
      <c r="B19" s="174" t="s">
        <v>65</v>
      </c>
      <c r="C19" s="177">
        <f>C6+C18</f>
        <v>0</v>
      </c>
      <c r="D19" s="177">
        <f>D6+D18</f>
        <v>0</v>
      </c>
      <c r="E19" s="177">
        <f>E6+E18</f>
        <v>0</v>
      </c>
    </row>
    <row r="20" spans="2:5" ht="15.5" x14ac:dyDescent="0.25">
      <c r="B20" s="93" t="s">
        <v>67</v>
      </c>
      <c r="C20" s="52"/>
      <c r="D20" s="52"/>
      <c r="E20" s="52"/>
    </row>
    <row r="21" spans="2:5" ht="15.5" x14ac:dyDescent="0.25">
      <c r="B21" s="182" t="s">
        <v>167</v>
      </c>
      <c r="C21" s="170"/>
      <c r="D21" s="170"/>
      <c r="E21" s="170"/>
    </row>
    <row r="22" spans="2:5" ht="15.5" x14ac:dyDescent="0.25">
      <c r="B22" s="182" t="s">
        <v>12</v>
      </c>
      <c r="C22" s="170"/>
      <c r="D22" s="170"/>
      <c r="E22" s="170"/>
    </row>
    <row r="23" spans="2:5" ht="15.5" x14ac:dyDescent="0.25">
      <c r="B23" s="182"/>
      <c r="C23" s="66"/>
      <c r="D23" s="66"/>
      <c r="E23" s="66"/>
    </row>
    <row r="24" spans="2:5" ht="15.5" x14ac:dyDescent="0.25">
      <c r="B24" s="182"/>
      <c r="C24" s="66"/>
      <c r="D24" s="66"/>
      <c r="E24" s="66"/>
    </row>
    <row r="25" spans="2:5" ht="15.5" x14ac:dyDescent="0.25">
      <c r="B25" s="182"/>
      <c r="C25" s="66"/>
      <c r="D25" s="66"/>
      <c r="E25" s="66"/>
    </row>
    <row r="26" spans="2:5" ht="15.5" x14ac:dyDescent="0.25">
      <c r="B26" s="182"/>
      <c r="C26" s="66"/>
      <c r="D26" s="66"/>
      <c r="E26" s="66"/>
    </row>
    <row r="27" spans="2:5" ht="15.5" x14ac:dyDescent="0.25">
      <c r="B27" s="182"/>
      <c r="C27" s="66"/>
      <c r="D27" s="66"/>
      <c r="E27" s="66"/>
    </row>
    <row r="28" spans="2:5" ht="15.5" x14ac:dyDescent="0.25">
      <c r="B28" s="182"/>
      <c r="C28" s="66"/>
      <c r="D28" s="66"/>
      <c r="E28" s="66"/>
    </row>
    <row r="29" spans="2:5" ht="15.5" x14ac:dyDescent="0.25">
      <c r="B29" s="182"/>
      <c r="C29" s="66"/>
      <c r="D29" s="66"/>
      <c r="E29" s="66"/>
    </row>
    <row r="30" spans="2:5" ht="15.5" x14ac:dyDescent="0.25">
      <c r="B30" s="182"/>
      <c r="C30" s="66"/>
      <c r="D30" s="66"/>
      <c r="E30" s="66"/>
    </row>
    <row r="31" spans="2:5" ht="15.5" x14ac:dyDescent="0.25">
      <c r="B31" s="182"/>
      <c r="C31" s="66"/>
      <c r="D31" s="66"/>
      <c r="E31" s="66"/>
    </row>
    <row r="32" spans="2:5" ht="15.5" x14ac:dyDescent="0.25">
      <c r="B32" s="182"/>
      <c r="C32" s="170"/>
      <c r="D32" s="170"/>
      <c r="E32" s="170"/>
    </row>
    <row r="33" spans="2:5" ht="15.5" x14ac:dyDescent="0.25">
      <c r="B33" s="182"/>
      <c r="C33" s="170"/>
      <c r="D33" s="170"/>
      <c r="E33" s="170"/>
    </row>
    <row r="34" spans="2:5" ht="15.5" x14ac:dyDescent="0.25">
      <c r="B34" s="182"/>
      <c r="C34" s="170"/>
      <c r="D34" s="170"/>
      <c r="E34" s="170"/>
    </row>
    <row r="35" spans="2:5" ht="15.5" x14ac:dyDescent="0.25">
      <c r="B35" s="182"/>
      <c r="C35" s="170"/>
      <c r="D35" s="170"/>
      <c r="E35" s="170"/>
    </row>
    <row r="36" spans="2:5" ht="15.5" x14ac:dyDescent="0.25">
      <c r="B36" s="182"/>
      <c r="C36" s="170"/>
      <c r="D36" s="170"/>
      <c r="E36" s="170"/>
    </row>
    <row r="37" spans="2:5" ht="15.5" x14ac:dyDescent="0.25">
      <c r="B37" s="182"/>
      <c r="C37" s="170"/>
      <c r="D37" s="170"/>
      <c r="E37" s="170"/>
    </row>
    <row r="38" spans="2:5" ht="15.5" x14ac:dyDescent="0.25">
      <c r="B38" s="182"/>
      <c r="C38" s="170"/>
      <c r="D38" s="170"/>
      <c r="E38" s="170"/>
    </row>
    <row r="39" spans="2:5" ht="15.5" x14ac:dyDescent="0.25">
      <c r="B39" s="182"/>
      <c r="C39" s="170"/>
      <c r="D39" s="170"/>
      <c r="E39" s="170"/>
    </row>
    <row r="40" spans="2:5" ht="15.5" x14ac:dyDescent="0.25">
      <c r="B40" s="182"/>
      <c r="C40" s="170"/>
      <c r="D40" s="170"/>
      <c r="E40" s="170"/>
    </row>
    <row r="41" spans="2:5" ht="15.5" x14ac:dyDescent="0.25">
      <c r="B41" s="183" t="str">
        <f>CONCATENATE("Cash Reserve (",E1," column)")</f>
        <v>Cash Reserve (2026 column)</v>
      </c>
      <c r="C41" s="170"/>
      <c r="D41" s="170"/>
      <c r="E41" s="170"/>
    </row>
    <row r="42" spans="2:5" ht="15.5" x14ac:dyDescent="0.25">
      <c r="B42" s="183" t="s">
        <v>9</v>
      </c>
      <c r="C42" s="170"/>
      <c r="D42" s="164"/>
      <c r="E42" s="164"/>
    </row>
    <row r="43" spans="2:5" ht="15.5" x14ac:dyDescent="0.25">
      <c r="B43" s="183" t="s">
        <v>351</v>
      </c>
      <c r="C43" s="204" t="str">
        <f>IF(C44*0.1&lt;C42,"Exceed 10% Rule","")</f>
        <v/>
      </c>
      <c r="D43" s="173" t="str">
        <f>IF(D44*0.1&lt;D42,"Exceed 10% Rule","")</f>
        <v/>
      </c>
      <c r="E43" s="173" t="str">
        <f>IF(E44*0.1&lt;E42,"Exceed 10% Rule","")</f>
        <v/>
      </c>
    </row>
    <row r="44" spans="2:5" ht="15" x14ac:dyDescent="0.25">
      <c r="B44" s="174" t="s">
        <v>71</v>
      </c>
      <c r="C44" s="177">
        <f>SUM(C21:C42)</f>
        <v>0</v>
      </c>
      <c r="D44" s="177">
        <f>SUM(D21:D42)</f>
        <v>0</v>
      </c>
      <c r="E44" s="177">
        <f>SUM(E21:E42)</f>
        <v>0</v>
      </c>
    </row>
    <row r="45" spans="2:5" ht="15.5" x14ac:dyDescent="0.25">
      <c r="B45" s="93" t="s">
        <v>134</v>
      </c>
      <c r="C45" s="50">
        <f>C19-C44</f>
        <v>0</v>
      </c>
      <c r="D45" s="50">
        <f>D19-D44</f>
        <v>0</v>
      </c>
      <c r="E45" s="50">
        <f>E19-E44</f>
        <v>0</v>
      </c>
    </row>
    <row r="46" spans="2:5" ht="15.5" x14ac:dyDescent="0.25">
      <c r="B46" s="108" t="str">
        <f>CONCATENATE("",E1-2,"/",E1-1,"/",E1," Budget Authority Amount:")</f>
        <v>2024/2025/2026 Budget Authority Amount:</v>
      </c>
      <c r="C46" s="447">
        <f>inputOth!B93</f>
        <v>0</v>
      </c>
      <c r="D46" s="447">
        <f>inputPrYr!D53</f>
        <v>0</v>
      </c>
      <c r="E46" s="459">
        <f>E44</f>
        <v>0</v>
      </c>
    </row>
    <row r="47" spans="2:5" ht="15.5" x14ac:dyDescent="0.25">
      <c r="B47" s="80"/>
      <c r="C47" s="185" t="str">
        <f>IF(C44&gt;C46,"See Tab A","")</f>
        <v/>
      </c>
      <c r="D47" s="185" t="str">
        <f>IF(D44&gt;D46,"See Tab C","")</f>
        <v/>
      </c>
      <c r="E47" s="460" t="str">
        <f>IF(E45&lt;0,"See Tab E","")</f>
        <v/>
      </c>
    </row>
    <row r="48" spans="2:5" ht="15" x14ac:dyDescent="0.25">
      <c r="B48" s="542" t="s">
        <v>535</v>
      </c>
      <c r="C48" s="529" t="str">
        <f>IF(C45&lt;0,"See Tab B","")</f>
        <v/>
      </c>
      <c r="D48" s="529" t="str">
        <f>IF(D45&lt;0,"See Tab D","")</f>
        <v/>
      </c>
      <c r="E48" s="533"/>
    </row>
    <row r="49" spans="2:5" ht="15.5" x14ac:dyDescent="0.25">
      <c r="B49" s="530"/>
      <c r="C49" s="185"/>
      <c r="D49" s="185"/>
      <c r="E49" s="534"/>
    </row>
    <row r="50" spans="2:5" ht="15.5" x14ac:dyDescent="0.25">
      <c r="B50" s="531"/>
      <c r="C50" s="532"/>
      <c r="D50" s="532"/>
      <c r="E50" s="73"/>
    </row>
    <row r="51" spans="2:5" x14ac:dyDescent="0.25">
      <c r="B51" s="40"/>
      <c r="C51" s="40"/>
      <c r="D51" s="40"/>
      <c r="E51" s="40"/>
    </row>
    <row r="52" spans="2:5" ht="15.5" x14ac:dyDescent="0.25">
      <c r="B52" s="274" t="s">
        <v>74</v>
      </c>
      <c r="C52" s="465"/>
      <c r="D52" s="40"/>
      <c r="E52" s="40"/>
    </row>
  </sheetData>
  <sheetProtection sheet="1" objects="1" scenarios="1"/>
  <phoneticPr fontId="8" type="noConversion"/>
  <conditionalFormatting sqref="C16">
    <cfRule type="cellIs" dxfId="34" priority="7" stopIfTrue="1" operator="greaterThan">
      <formula>$C$18*0.1</formula>
    </cfRule>
  </conditionalFormatting>
  <conditionalFormatting sqref="C42">
    <cfRule type="cellIs" dxfId="33" priority="8" stopIfTrue="1" operator="greaterThan">
      <formula>$C$44*0.1</formula>
    </cfRule>
  </conditionalFormatting>
  <conditionalFormatting sqref="C44">
    <cfRule type="cellIs" dxfId="32" priority="10" stopIfTrue="1" operator="greaterThan">
      <formula>$C$46</formula>
    </cfRule>
  </conditionalFormatting>
  <conditionalFormatting sqref="C45">
    <cfRule type="cellIs" dxfId="31" priority="11" stopIfTrue="1" operator="lessThan">
      <formula>0</formula>
    </cfRule>
  </conditionalFormatting>
  <conditionalFormatting sqref="D16">
    <cfRule type="cellIs" dxfId="30" priority="5" stopIfTrue="1" operator="greaterThan">
      <formula>$D$18*0.1</formula>
    </cfRule>
  </conditionalFormatting>
  <conditionalFormatting sqref="D42">
    <cfRule type="cellIs" dxfId="29" priority="6" stopIfTrue="1" operator="greaterThan">
      <formula>$D$44*0.1</formula>
    </cfRule>
  </conditionalFormatting>
  <conditionalFormatting sqref="D44">
    <cfRule type="cellIs" dxfId="28" priority="9" stopIfTrue="1" operator="greaterThan">
      <formula>$D$46</formula>
    </cfRule>
  </conditionalFormatting>
  <conditionalFormatting sqref="D45">
    <cfRule type="cellIs" dxfId="27" priority="2" stopIfTrue="1" operator="lessThan">
      <formula>0</formula>
    </cfRule>
  </conditionalFormatting>
  <conditionalFormatting sqref="E16">
    <cfRule type="cellIs" dxfId="26" priority="3" stopIfTrue="1" operator="greaterThan">
      <formula>$E$18*0.1</formula>
    </cfRule>
  </conditionalFormatting>
  <conditionalFormatting sqref="E42">
    <cfRule type="cellIs" dxfId="25" priority="4" stopIfTrue="1" operator="greaterThan">
      <formula>$E$44*0.1</formula>
    </cfRule>
  </conditionalFormatting>
  <conditionalFormatting sqref="E45:E46">
    <cfRule type="cellIs" dxfId="24" priority="1" stopIfTrue="1" operator="lessThan">
      <formula>0</formula>
    </cfRule>
  </conditionalFormatting>
  <pageMargins left="0.75" right="0.75" top="1" bottom="1" header="0.5" footer="0.5"/>
  <pageSetup scale="80" orientation="portrait"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F0"/>
    <pageSetUpPr fitToPage="1"/>
  </sheetPr>
  <dimension ref="B1:E52"/>
  <sheetViews>
    <sheetView workbookViewId="0">
      <selection activeCell="B20" sqref="B20"/>
    </sheetView>
  </sheetViews>
  <sheetFormatPr defaultColWidth="8.9140625" defaultRowHeight="12.5" x14ac:dyDescent="0.25"/>
  <cols>
    <col min="1" max="1" width="2.4140625" style="64" customWidth="1"/>
    <col min="2" max="2" width="31.08203125" style="64" customWidth="1"/>
    <col min="3" max="4" width="15.75" style="64" customWidth="1"/>
    <col min="5" max="5" width="16.4140625" style="64" customWidth="1"/>
    <col min="6" max="16384" width="8.9140625" style="64"/>
  </cols>
  <sheetData>
    <row r="1" spans="2:5" ht="15.5" x14ac:dyDescent="0.25">
      <c r="B1" s="47" t="str">
        <f>(inputPrYr!D3)</f>
        <v>The City of Colby</v>
      </c>
      <c r="C1" s="28"/>
      <c r="D1" s="28"/>
      <c r="E1" s="132">
        <f>inputPrYr!$C$6</f>
        <v>2026</v>
      </c>
    </row>
    <row r="2" spans="2:5" ht="15.5" x14ac:dyDescent="0.25">
      <c r="B2" s="28"/>
      <c r="C2" s="28"/>
      <c r="D2" s="28"/>
      <c r="E2" s="107"/>
    </row>
    <row r="3" spans="2:5" ht="15.5" x14ac:dyDescent="0.25">
      <c r="B3" s="160" t="s">
        <v>120</v>
      </c>
      <c r="C3" s="201"/>
      <c r="D3" s="201"/>
      <c r="E3" s="202"/>
    </row>
    <row r="4" spans="2:5" ht="15.5" x14ac:dyDescent="0.25">
      <c r="B4" s="29" t="s">
        <v>57</v>
      </c>
      <c r="C4" s="443" t="s">
        <v>475</v>
      </c>
      <c r="D4" s="444" t="s">
        <v>476</v>
      </c>
      <c r="E4" s="87" t="s">
        <v>477</v>
      </c>
    </row>
    <row r="5" spans="2:5" ht="15.5" x14ac:dyDescent="0.25">
      <c r="B5" s="334">
        <f>(inputPrYr!B54)</f>
        <v>0</v>
      </c>
      <c r="C5" s="137" t="str">
        <f>CONCATENATE("Actual for ",E1-2,"")</f>
        <v>Actual for 2024</v>
      </c>
      <c r="D5" s="137" t="str">
        <f>CONCATENATE("Estimate for ",E1-1,"")</f>
        <v>Estimate for 2025</v>
      </c>
      <c r="E5" s="122" t="str">
        <f>CONCATENATE("Year for ",E1,"")</f>
        <v>Year for 2026</v>
      </c>
    </row>
    <row r="6" spans="2:5" ht="15.5" x14ac:dyDescent="0.25">
      <c r="B6" s="93" t="s">
        <v>133</v>
      </c>
      <c r="C6" s="167"/>
      <c r="D6" s="165">
        <f>C45</f>
        <v>0</v>
      </c>
      <c r="E6" s="140">
        <f>D45</f>
        <v>0</v>
      </c>
    </row>
    <row r="7" spans="2:5" ht="15.5" x14ac:dyDescent="0.25">
      <c r="B7" s="191" t="s">
        <v>135</v>
      </c>
      <c r="C7" s="102"/>
      <c r="D7" s="102"/>
      <c r="E7" s="52"/>
    </row>
    <row r="8" spans="2:5" ht="15.5" x14ac:dyDescent="0.25">
      <c r="B8" s="182"/>
      <c r="C8" s="167"/>
      <c r="D8" s="167"/>
      <c r="E8" s="170"/>
    </row>
    <row r="9" spans="2:5" ht="15.5" x14ac:dyDescent="0.25">
      <c r="B9" s="182"/>
      <c r="C9" s="167"/>
      <c r="D9" s="167"/>
      <c r="E9" s="170"/>
    </row>
    <row r="10" spans="2:5" ht="15.5" x14ac:dyDescent="0.25">
      <c r="B10" s="182"/>
      <c r="C10" s="167"/>
      <c r="D10" s="167"/>
      <c r="E10" s="170"/>
    </row>
    <row r="11" spans="2:5" ht="15.5" x14ac:dyDescent="0.25">
      <c r="B11" s="182"/>
      <c r="C11" s="167"/>
      <c r="D11" s="167"/>
      <c r="E11" s="170"/>
    </row>
    <row r="12" spans="2:5" ht="15.5" x14ac:dyDescent="0.25">
      <c r="B12" s="182"/>
      <c r="C12" s="167"/>
      <c r="D12" s="167"/>
      <c r="E12" s="170"/>
    </row>
    <row r="13" spans="2:5" ht="15.5" x14ac:dyDescent="0.25">
      <c r="B13" s="196"/>
      <c r="C13" s="167"/>
      <c r="D13" s="167"/>
      <c r="E13" s="66"/>
    </row>
    <row r="14" spans="2:5" ht="15.5" x14ac:dyDescent="0.25">
      <c r="B14" s="182"/>
      <c r="C14" s="167"/>
      <c r="D14" s="167"/>
      <c r="E14" s="170"/>
    </row>
    <row r="15" spans="2:5" ht="15.5" x14ac:dyDescent="0.25">
      <c r="B15" s="203" t="s">
        <v>63</v>
      </c>
      <c r="C15" s="167"/>
      <c r="D15" s="167"/>
      <c r="E15" s="170"/>
    </row>
    <row r="16" spans="2:5" ht="15.5" x14ac:dyDescent="0.25">
      <c r="B16" s="102" t="s">
        <v>9</v>
      </c>
      <c r="C16" s="167"/>
      <c r="D16" s="167"/>
      <c r="E16" s="170"/>
    </row>
    <row r="17" spans="2:5" ht="15.5" x14ac:dyDescent="0.25">
      <c r="B17" s="162" t="s">
        <v>350</v>
      </c>
      <c r="C17" s="172" t="str">
        <f>IF(C18*0.1&lt;C16,"Exceed 10% Rule","")</f>
        <v/>
      </c>
      <c r="D17" s="172" t="str">
        <f>IF(D18*0.1&lt;D16,"Exceed 10% Rule","")</f>
        <v/>
      </c>
      <c r="E17" s="204" t="str">
        <f>IF(E18*0.1&lt;E16,"Exceed 10% Rule","")</f>
        <v/>
      </c>
    </row>
    <row r="18" spans="2:5" ht="15" x14ac:dyDescent="0.25">
      <c r="B18" s="174" t="s">
        <v>64</v>
      </c>
      <c r="C18" s="176">
        <f>SUM(C8:C16)</f>
        <v>0</v>
      </c>
      <c r="D18" s="176">
        <f>SUM(D8:D16)</f>
        <v>0</v>
      </c>
      <c r="E18" s="177">
        <f>SUM(E8:E16)</f>
        <v>0</v>
      </c>
    </row>
    <row r="19" spans="2:5" ht="15" x14ac:dyDescent="0.25">
      <c r="B19" s="174" t="s">
        <v>65</v>
      </c>
      <c r="C19" s="176">
        <f>C6+C18</f>
        <v>0</v>
      </c>
      <c r="D19" s="176">
        <f>D6+D18</f>
        <v>0</v>
      </c>
      <c r="E19" s="177">
        <f>E6+E18</f>
        <v>0</v>
      </c>
    </row>
    <row r="20" spans="2:5" ht="15.5" x14ac:dyDescent="0.25">
      <c r="B20" s="93" t="s">
        <v>67</v>
      </c>
      <c r="C20" s="102"/>
      <c r="D20" s="102"/>
      <c r="E20" s="52"/>
    </row>
    <row r="21" spans="2:5" ht="15.5" x14ac:dyDescent="0.25">
      <c r="B21" s="182" t="s">
        <v>167</v>
      </c>
      <c r="C21" s="167"/>
      <c r="D21" s="167"/>
      <c r="E21" s="170"/>
    </row>
    <row r="22" spans="2:5" ht="15.5" x14ac:dyDescent="0.25">
      <c r="B22" s="182" t="s">
        <v>11</v>
      </c>
      <c r="C22" s="167"/>
      <c r="D22" s="167"/>
      <c r="E22" s="170"/>
    </row>
    <row r="23" spans="2:5" ht="15.5" x14ac:dyDescent="0.25">
      <c r="B23" s="182"/>
      <c r="C23" s="167"/>
      <c r="D23" s="167"/>
      <c r="E23" s="66"/>
    </row>
    <row r="24" spans="2:5" ht="15.5" x14ac:dyDescent="0.25">
      <c r="B24" s="182"/>
      <c r="C24" s="167"/>
      <c r="D24" s="167"/>
      <c r="E24" s="66"/>
    </row>
    <row r="25" spans="2:5" ht="15.5" x14ac:dyDescent="0.25">
      <c r="B25" s="182"/>
      <c r="C25" s="167"/>
      <c r="D25" s="167"/>
      <c r="E25" s="66"/>
    </row>
    <row r="26" spans="2:5" ht="15.5" x14ac:dyDescent="0.25">
      <c r="B26" s="182"/>
      <c r="C26" s="167"/>
      <c r="D26" s="167"/>
      <c r="E26" s="66"/>
    </row>
    <row r="27" spans="2:5" ht="15.5" x14ac:dyDescent="0.25">
      <c r="B27" s="182"/>
      <c r="C27" s="167"/>
      <c r="D27" s="167"/>
      <c r="E27" s="66"/>
    </row>
    <row r="28" spans="2:5" ht="15.5" x14ac:dyDescent="0.25">
      <c r="B28" s="182"/>
      <c r="C28" s="167"/>
      <c r="D28" s="167"/>
      <c r="E28" s="66"/>
    </row>
    <row r="29" spans="2:5" ht="15.5" x14ac:dyDescent="0.25">
      <c r="B29" s="182"/>
      <c r="C29" s="167"/>
      <c r="D29" s="167"/>
      <c r="E29" s="66"/>
    </row>
    <row r="30" spans="2:5" ht="15.5" x14ac:dyDescent="0.25">
      <c r="B30" s="182"/>
      <c r="C30" s="167"/>
      <c r="D30" s="167"/>
      <c r="E30" s="66"/>
    </row>
    <row r="31" spans="2:5" ht="15.5" x14ac:dyDescent="0.25">
      <c r="B31" s="182"/>
      <c r="C31" s="167"/>
      <c r="D31" s="167"/>
      <c r="E31" s="66"/>
    </row>
    <row r="32" spans="2:5" ht="15.5" x14ac:dyDescent="0.25">
      <c r="B32" s="182"/>
      <c r="C32" s="167"/>
      <c r="D32" s="167"/>
      <c r="E32" s="170"/>
    </row>
    <row r="33" spans="2:5" ht="15.5" x14ac:dyDescent="0.25">
      <c r="B33" s="182"/>
      <c r="C33" s="167"/>
      <c r="D33" s="167"/>
      <c r="E33" s="170"/>
    </row>
    <row r="34" spans="2:5" ht="15.5" x14ac:dyDescent="0.25">
      <c r="B34" s="182"/>
      <c r="C34" s="167"/>
      <c r="D34" s="167"/>
      <c r="E34" s="170"/>
    </row>
    <row r="35" spans="2:5" ht="15.5" x14ac:dyDescent="0.25">
      <c r="B35" s="182"/>
      <c r="C35" s="167"/>
      <c r="D35" s="167"/>
      <c r="E35" s="170"/>
    </row>
    <row r="36" spans="2:5" ht="15.5" x14ac:dyDescent="0.25">
      <c r="B36" s="182"/>
      <c r="C36" s="167"/>
      <c r="D36" s="167"/>
      <c r="E36" s="170"/>
    </row>
    <row r="37" spans="2:5" ht="15.5" x14ac:dyDescent="0.25">
      <c r="B37" s="182"/>
      <c r="C37" s="167"/>
      <c r="D37" s="167"/>
      <c r="E37" s="170"/>
    </row>
    <row r="38" spans="2:5" ht="15.5" x14ac:dyDescent="0.25">
      <c r="B38" s="182"/>
      <c r="C38" s="167"/>
      <c r="D38" s="167"/>
      <c r="E38" s="170"/>
    </row>
    <row r="39" spans="2:5" ht="15.5" x14ac:dyDescent="0.25">
      <c r="B39" s="182"/>
      <c r="C39" s="167"/>
      <c r="D39" s="167"/>
      <c r="E39" s="170"/>
    </row>
    <row r="40" spans="2:5" ht="15.5" x14ac:dyDescent="0.25">
      <c r="B40" s="182"/>
      <c r="C40" s="167"/>
      <c r="D40" s="167"/>
      <c r="E40" s="170"/>
    </row>
    <row r="41" spans="2:5" ht="15.5" x14ac:dyDescent="0.25">
      <c r="B41" s="183" t="str">
        <f>CONCATENATE("Cash Reserve (",E1," column)")</f>
        <v>Cash Reserve (2026 column)</v>
      </c>
      <c r="C41" s="167"/>
      <c r="D41" s="167"/>
      <c r="E41" s="170"/>
    </row>
    <row r="42" spans="2:5" ht="15.5" x14ac:dyDescent="0.25">
      <c r="B42" s="183" t="s">
        <v>9</v>
      </c>
      <c r="C42" s="167"/>
      <c r="D42" s="167"/>
      <c r="E42" s="170"/>
    </row>
    <row r="43" spans="2:5" ht="15.5" x14ac:dyDescent="0.25">
      <c r="B43" s="183" t="s">
        <v>351</v>
      </c>
      <c r="C43" s="172" t="str">
        <f>IF(C44*0.1&lt;C42,"Exceed 10% Rule","")</f>
        <v/>
      </c>
      <c r="D43" s="172" t="str">
        <f>IF(D44*0.1&lt;D42,"Exceed 10% Rule","")</f>
        <v/>
      </c>
      <c r="E43" s="204" t="str">
        <f>IF(E44*0.1&lt;E42,"Exceed 10% Rule","")</f>
        <v/>
      </c>
    </row>
    <row r="44" spans="2:5" ht="15" x14ac:dyDescent="0.25">
      <c r="B44" s="174" t="s">
        <v>71</v>
      </c>
      <c r="C44" s="176">
        <f>SUM(C21:C42)</f>
        <v>0</v>
      </c>
      <c r="D44" s="176">
        <f>SUM(D21:D42)</f>
        <v>0</v>
      </c>
      <c r="E44" s="177">
        <f>SUM(E21:E42)</f>
        <v>0</v>
      </c>
    </row>
    <row r="45" spans="2:5" ht="15.5" x14ac:dyDescent="0.25">
      <c r="B45" s="93" t="s">
        <v>134</v>
      </c>
      <c r="C45" s="180">
        <f>C19-C44</f>
        <v>0</v>
      </c>
      <c r="D45" s="180">
        <f>D19-D44</f>
        <v>0</v>
      </c>
      <c r="E45" s="50">
        <f>E19-E44</f>
        <v>0</v>
      </c>
    </row>
    <row r="46" spans="2:5" ht="15.5" x14ac:dyDescent="0.25">
      <c r="B46" s="108" t="str">
        <f>CONCATENATE("",E1-2,"/",E1-1,"/",E1," Budget Authority Amount:")</f>
        <v>2024/2025/2026 Budget Authority Amount:</v>
      </c>
      <c r="C46" s="447">
        <f>inputOth!B94</f>
        <v>0</v>
      </c>
      <c r="D46" s="447">
        <f>inputPrYr!D54</f>
        <v>0</v>
      </c>
      <c r="E46" s="459">
        <f>E44</f>
        <v>0</v>
      </c>
    </row>
    <row r="47" spans="2:5" ht="15.5" x14ac:dyDescent="0.25">
      <c r="B47" s="80"/>
      <c r="C47" s="185" t="str">
        <f>IF(C44&gt;C46,"See Tab A","")</f>
        <v/>
      </c>
      <c r="D47" s="185" t="str">
        <f>IF(D44&gt;D46,"See Tab C","")</f>
        <v/>
      </c>
      <c r="E47" s="460" t="str">
        <f>IF(E45&lt;0,"See Tab E","")</f>
        <v/>
      </c>
    </row>
    <row r="48" spans="2:5" ht="15" x14ac:dyDescent="0.25">
      <c r="B48" s="542" t="s">
        <v>535</v>
      </c>
      <c r="C48" s="529" t="str">
        <f>IF(C45&lt;0,"See Tab B","")</f>
        <v/>
      </c>
      <c r="D48" s="529" t="str">
        <f>IF(D45&lt;0,"See Tab D","")</f>
        <v/>
      </c>
      <c r="E48" s="533"/>
    </row>
    <row r="49" spans="2:5" ht="15.5" x14ac:dyDescent="0.25">
      <c r="B49" s="530"/>
      <c r="C49" s="185"/>
      <c r="D49" s="185"/>
      <c r="E49" s="534"/>
    </row>
    <row r="50" spans="2:5" ht="15.5" x14ac:dyDescent="0.25">
      <c r="B50" s="531"/>
      <c r="C50" s="532"/>
      <c r="D50" s="532"/>
      <c r="E50" s="73"/>
    </row>
    <row r="51" spans="2:5" x14ac:dyDescent="0.25">
      <c r="B51" s="40"/>
      <c r="C51" s="40"/>
      <c r="D51" s="40"/>
      <c r="E51" s="40"/>
    </row>
    <row r="52" spans="2:5" ht="15.5" x14ac:dyDescent="0.25">
      <c r="B52" s="274" t="s">
        <v>74</v>
      </c>
      <c r="C52" s="465"/>
      <c r="D52" s="40"/>
      <c r="E52" s="40"/>
    </row>
  </sheetData>
  <sheetProtection sheet="1" objects="1" scenarios="1"/>
  <phoneticPr fontId="8" type="noConversion"/>
  <conditionalFormatting sqref="C16">
    <cfRule type="cellIs" dxfId="23" priority="2" stopIfTrue="1" operator="greaterThan">
      <formula>$C$18*0.1</formula>
    </cfRule>
  </conditionalFormatting>
  <conditionalFormatting sqref="C42">
    <cfRule type="cellIs" dxfId="22" priority="7" stopIfTrue="1" operator="greaterThan">
      <formula>$C$44*0.1</formula>
    </cfRule>
  </conditionalFormatting>
  <conditionalFormatting sqref="C44">
    <cfRule type="cellIs" dxfId="21" priority="10" stopIfTrue="1" operator="greaterThan">
      <formula>$C$46</formula>
    </cfRule>
  </conditionalFormatting>
  <conditionalFormatting sqref="C45">
    <cfRule type="cellIs" dxfId="20" priority="11" stopIfTrue="1" operator="lessThan">
      <formula>0</formula>
    </cfRule>
  </conditionalFormatting>
  <conditionalFormatting sqref="D16">
    <cfRule type="cellIs" dxfId="19" priority="3" stopIfTrue="1" operator="greaterThan">
      <formula>$D$18*0.1</formula>
    </cfRule>
  </conditionalFormatting>
  <conditionalFormatting sqref="D42">
    <cfRule type="cellIs" dxfId="18" priority="8" stopIfTrue="1" operator="greaterThan">
      <formula>$D$44*0.1</formula>
    </cfRule>
  </conditionalFormatting>
  <conditionalFormatting sqref="D44">
    <cfRule type="cellIs" dxfId="17" priority="9" stopIfTrue="1" operator="greaterThan">
      <formula>$D$46</formula>
    </cfRule>
  </conditionalFormatting>
  <conditionalFormatting sqref="D45">
    <cfRule type="cellIs" dxfId="16" priority="4" stopIfTrue="1" operator="lessThan">
      <formula>0</formula>
    </cfRule>
  </conditionalFormatting>
  <conditionalFormatting sqref="E16">
    <cfRule type="cellIs" dxfId="15" priority="5" stopIfTrue="1" operator="greaterThan">
      <formula>$E$18*0.1</formula>
    </cfRule>
  </conditionalFormatting>
  <conditionalFormatting sqref="E42">
    <cfRule type="cellIs" dxfId="14" priority="6" stopIfTrue="1" operator="greaterThan">
      <formula>$E$44*0.1</formula>
    </cfRule>
  </conditionalFormatting>
  <conditionalFormatting sqref="E45:E46">
    <cfRule type="cellIs" dxfId="13" priority="1" stopIfTrue="1" operator="lessThan">
      <formula>0</formula>
    </cfRule>
  </conditionalFormatting>
  <pageMargins left="0.75" right="0.75" top="1" bottom="1" header="0.5" footer="0.5"/>
  <pageSetup scale="80" orientation="portrait" blackAndWhite="1" r:id="rId1"/>
  <headerFooter alignWithMargins="0">
    <oddHeader>&amp;RState of Kansas
City</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F0"/>
    <pageSetUpPr fitToPage="1"/>
  </sheetPr>
  <dimension ref="B1:E52"/>
  <sheetViews>
    <sheetView workbookViewId="0">
      <selection activeCell="B20" sqref="B20"/>
    </sheetView>
  </sheetViews>
  <sheetFormatPr defaultColWidth="8.9140625" defaultRowHeight="12.5" x14ac:dyDescent="0.25"/>
  <cols>
    <col min="1" max="1" width="2.4140625" style="64" customWidth="1"/>
    <col min="2" max="2" width="31.08203125" style="64" customWidth="1"/>
    <col min="3" max="4" width="15.75" style="64" customWidth="1"/>
    <col min="5" max="5" width="16.58203125" style="64" customWidth="1"/>
    <col min="6" max="16384" width="8.9140625" style="64"/>
  </cols>
  <sheetData>
    <row r="1" spans="2:5" ht="15.5" x14ac:dyDescent="0.25">
      <c r="B1" s="47" t="str">
        <f>(inputPrYr!D3)</f>
        <v>The City of Colby</v>
      </c>
      <c r="C1" s="28"/>
      <c r="D1" s="28"/>
      <c r="E1" s="132">
        <f>inputPrYr!$C$6</f>
        <v>2026</v>
      </c>
    </row>
    <row r="2" spans="2:5" ht="15.5" x14ac:dyDescent="0.25">
      <c r="B2" s="28"/>
      <c r="C2" s="28"/>
      <c r="D2" s="28"/>
      <c r="E2" s="107"/>
    </row>
    <row r="3" spans="2:5" ht="15.5" x14ac:dyDescent="0.25">
      <c r="B3" s="160" t="s">
        <v>120</v>
      </c>
      <c r="C3" s="201"/>
      <c r="D3" s="201"/>
      <c r="E3" s="202"/>
    </row>
    <row r="4" spans="2:5" ht="15.5" x14ac:dyDescent="0.25">
      <c r="B4" s="29" t="s">
        <v>57</v>
      </c>
      <c r="C4" s="443" t="s">
        <v>475</v>
      </c>
      <c r="D4" s="444" t="s">
        <v>476</v>
      </c>
      <c r="E4" s="87" t="s">
        <v>477</v>
      </c>
    </row>
    <row r="5" spans="2:5" ht="15.5" x14ac:dyDescent="0.25">
      <c r="B5" s="334">
        <f>(inputPrYr!B55)</f>
        <v>0</v>
      </c>
      <c r="C5" s="137" t="str">
        <f>CONCATENATE("Actual for ",E1-2,"")</f>
        <v>Actual for 2024</v>
      </c>
      <c r="D5" s="137" t="str">
        <f>CONCATENATE("Estimate for ",E1-1,"")</f>
        <v>Estimate for 2025</v>
      </c>
      <c r="E5" s="122" t="str">
        <f>CONCATENATE("Year for ",E1,"")</f>
        <v>Year for 2026</v>
      </c>
    </row>
    <row r="6" spans="2:5" ht="15.5" x14ac:dyDescent="0.25">
      <c r="B6" s="93" t="s">
        <v>133</v>
      </c>
      <c r="C6" s="167"/>
      <c r="D6" s="165">
        <f>C45</f>
        <v>0</v>
      </c>
      <c r="E6" s="140">
        <f>D45</f>
        <v>0</v>
      </c>
    </row>
    <row r="7" spans="2:5" ht="15.5" x14ac:dyDescent="0.25">
      <c r="B7" s="191" t="s">
        <v>135</v>
      </c>
      <c r="C7" s="102"/>
      <c r="D7" s="102"/>
      <c r="E7" s="52"/>
    </row>
    <row r="8" spans="2:5" ht="15.5" x14ac:dyDescent="0.25">
      <c r="B8" s="182"/>
      <c r="C8" s="167"/>
      <c r="D8" s="167"/>
      <c r="E8" s="170"/>
    </row>
    <row r="9" spans="2:5" ht="15.5" x14ac:dyDescent="0.25">
      <c r="B9" s="182"/>
      <c r="C9" s="167"/>
      <c r="D9" s="167"/>
      <c r="E9" s="170"/>
    </row>
    <row r="10" spans="2:5" ht="15.5" x14ac:dyDescent="0.25">
      <c r="B10" s="182"/>
      <c r="C10" s="167"/>
      <c r="D10" s="167"/>
      <c r="E10" s="170"/>
    </row>
    <row r="11" spans="2:5" ht="15.5" x14ac:dyDescent="0.25">
      <c r="B11" s="182"/>
      <c r="C11" s="167"/>
      <c r="D11" s="167"/>
      <c r="E11" s="170"/>
    </row>
    <row r="12" spans="2:5" ht="15.5" x14ac:dyDescent="0.25">
      <c r="B12" s="182"/>
      <c r="C12" s="167"/>
      <c r="D12" s="167"/>
      <c r="E12" s="170"/>
    </row>
    <row r="13" spans="2:5" ht="15.5" x14ac:dyDescent="0.25">
      <c r="B13" s="196"/>
      <c r="C13" s="167"/>
      <c r="D13" s="167"/>
      <c r="E13" s="66"/>
    </row>
    <row r="14" spans="2:5" ht="15.5" x14ac:dyDescent="0.25">
      <c r="B14" s="182"/>
      <c r="C14" s="167"/>
      <c r="D14" s="167"/>
      <c r="E14" s="170"/>
    </row>
    <row r="15" spans="2:5" ht="15.5" x14ac:dyDescent="0.25">
      <c r="B15" s="203" t="s">
        <v>63</v>
      </c>
      <c r="C15" s="167"/>
      <c r="D15" s="167"/>
      <c r="E15" s="170"/>
    </row>
    <row r="16" spans="2:5" ht="15.5" x14ac:dyDescent="0.25">
      <c r="B16" s="102" t="s">
        <v>9</v>
      </c>
      <c r="C16" s="167"/>
      <c r="D16" s="167"/>
      <c r="E16" s="170"/>
    </row>
    <row r="17" spans="2:5" ht="15.5" x14ac:dyDescent="0.25">
      <c r="B17" s="162" t="s">
        <v>350</v>
      </c>
      <c r="C17" s="172" t="str">
        <f>IF(C18*0.1&lt;C16,"Exceed 10% Rule","")</f>
        <v/>
      </c>
      <c r="D17" s="172" t="str">
        <f>IF(D18*0.1&lt;D16,"Exceed 10% Rule","")</f>
        <v/>
      </c>
      <c r="E17" s="204" t="str">
        <f>IF(E18*0.1&lt;E16,"Exceed 10% Rule","")</f>
        <v/>
      </c>
    </row>
    <row r="18" spans="2:5" ht="15" x14ac:dyDescent="0.25">
      <c r="B18" s="174" t="s">
        <v>64</v>
      </c>
      <c r="C18" s="176">
        <f>SUM(C8:C16)</f>
        <v>0</v>
      </c>
      <c r="D18" s="176">
        <f>SUM(D8:D16)</f>
        <v>0</v>
      </c>
      <c r="E18" s="177">
        <f>SUM(E8:E16)</f>
        <v>0</v>
      </c>
    </row>
    <row r="19" spans="2:5" ht="15" x14ac:dyDescent="0.25">
      <c r="B19" s="174" t="s">
        <v>65</v>
      </c>
      <c r="C19" s="176">
        <f>C6+C18</f>
        <v>0</v>
      </c>
      <c r="D19" s="176">
        <f>D6+D18</f>
        <v>0</v>
      </c>
      <c r="E19" s="177">
        <f>E6+E18</f>
        <v>0</v>
      </c>
    </row>
    <row r="20" spans="2:5" ht="15.5" x14ac:dyDescent="0.25">
      <c r="B20" s="93" t="s">
        <v>67</v>
      </c>
      <c r="C20" s="102"/>
      <c r="D20" s="102"/>
      <c r="E20" s="52"/>
    </row>
    <row r="21" spans="2:5" ht="15.5" x14ac:dyDescent="0.25">
      <c r="B21" s="182" t="s">
        <v>167</v>
      </c>
      <c r="C21" s="167"/>
      <c r="D21" s="167"/>
      <c r="E21" s="170"/>
    </row>
    <row r="22" spans="2:5" ht="15.5" x14ac:dyDescent="0.25">
      <c r="B22" s="182" t="s">
        <v>12</v>
      </c>
      <c r="C22" s="167"/>
      <c r="D22" s="167"/>
      <c r="E22" s="170"/>
    </row>
    <row r="23" spans="2:5" ht="15.5" x14ac:dyDescent="0.25">
      <c r="B23" s="182"/>
      <c r="C23" s="167"/>
      <c r="D23" s="167"/>
      <c r="E23" s="66"/>
    </row>
    <row r="24" spans="2:5" ht="15.5" x14ac:dyDescent="0.25">
      <c r="B24" s="182"/>
      <c r="C24" s="167"/>
      <c r="D24" s="167"/>
      <c r="E24" s="66"/>
    </row>
    <row r="25" spans="2:5" ht="15.5" x14ac:dyDescent="0.25">
      <c r="B25" s="182"/>
      <c r="C25" s="167"/>
      <c r="D25" s="167"/>
      <c r="E25" s="66"/>
    </row>
    <row r="26" spans="2:5" ht="15.5" x14ac:dyDescent="0.25">
      <c r="B26" s="182"/>
      <c r="C26" s="167"/>
      <c r="D26" s="167"/>
      <c r="E26" s="66"/>
    </row>
    <row r="27" spans="2:5" ht="15.5" x14ac:dyDescent="0.25">
      <c r="B27" s="182"/>
      <c r="C27" s="167"/>
      <c r="D27" s="167"/>
      <c r="E27" s="66"/>
    </row>
    <row r="28" spans="2:5" ht="15.5" x14ac:dyDescent="0.25">
      <c r="B28" s="182"/>
      <c r="C28" s="167"/>
      <c r="D28" s="167"/>
      <c r="E28" s="66"/>
    </row>
    <row r="29" spans="2:5" ht="15.5" x14ac:dyDescent="0.25">
      <c r="B29" s="182"/>
      <c r="C29" s="167"/>
      <c r="D29" s="167"/>
      <c r="E29" s="66"/>
    </row>
    <row r="30" spans="2:5" ht="15.5" x14ac:dyDescent="0.25">
      <c r="B30" s="182"/>
      <c r="C30" s="167"/>
      <c r="D30" s="167"/>
      <c r="E30" s="66"/>
    </row>
    <row r="31" spans="2:5" ht="15.5" x14ac:dyDescent="0.25">
      <c r="B31" s="182"/>
      <c r="C31" s="167"/>
      <c r="D31" s="167"/>
      <c r="E31" s="66"/>
    </row>
    <row r="32" spans="2:5" ht="15.5" x14ac:dyDescent="0.25">
      <c r="B32" s="182"/>
      <c r="C32" s="167"/>
      <c r="D32" s="167"/>
      <c r="E32" s="170"/>
    </row>
    <row r="33" spans="2:5" ht="15.5" x14ac:dyDescent="0.25">
      <c r="B33" s="182"/>
      <c r="C33" s="167"/>
      <c r="D33" s="167"/>
      <c r="E33" s="170"/>
    </row>
    <row r="34" spans="2:5" ht="15.5" x14ac:dyDescent="0.25">
      <c r="B34" s="182"/>
      <c r="C34" s="167"/>
      <c r="D34" s="167"/>
      <c r="E34" s="170"/>
    </row>
    <row r="35" spans="2:5" ht="15.5" x14ac:dyDescent="0.25">
      <c r="B35" s="182"/>
      <c r="C35" s="167"/>
      <c r="D35" s="167"/>
      <c r="E35" s="170"/>
    </row>
    <row r="36" spans="2:5" ht="15.5" x14ac:dyDescent="0.25">
      <c r="B36" s="182"/>
      <c r="C36" s="167"/>
      <c r="D36" s="167"/>
      <c r="E36" s="170"/>
    </row>
    <row r="37" spans="2:5" ht="15.5" x14ac:dyDescent="0.25">
      <c r="B37" s="182"/>
      <c r="C37" s="167"/>
      <c r="D37" s="167"/>
      <c r="E37" s="170"/>
    </row>
    <row r="38" spans="2:5" ht="15.5" x14ac:dyDescent="0.25">
      <c r="B38" s="182"/>
      <c r="C38" s="167"/>
      <c r="D38" s="167"/>
      <c r="E38" s="170"/>
    </row>
    <row r="39" spans="2:5" ht="15.5" x14ac:dyDescent="0.25">
      <c r="B39" s="182"/>
      <c r="C39" s="167"/>
      <c r="D39" s="167"/>
      <c r="E39" s="170"/>
    </row>
    <row r="40" spans="2:5" ht="15.5" x14ac:dyDescent="0.25">
      <c r="B40" s="182"/>
      <c r="C40" s="167"/>
      <c r="D40" s="167"/>
      <c r="E40" s="170"/>
    </row>
    <row r="41" spans="2:5" ht="15.5" x14ac:dyDescent="0.25">
      <c r="B41" s="183" t="str">
        <f>CONCATENATE("Cash Reserve (",E1," column)")</f>
        <v>Cash Reserve (2026 column)</v>
      </c>
      <c r="C41" s="167"/>
      <c r="D41" s="167"/>
      <c r="E41" s="170"/>
    </row>
    <row r="42" spans="2:5" ht="15.5" x14ac:dyDescent="0.25">
      <c r="B42" s="183" t="s">
        <v>9</v>
      </c>
      <c r="C42" s="167"/>
      <c r="D42" s="167"/>
      <c r="E42" s="170"/>
    </row>
    <row r="43" spans="2:5" ht="15.5" x14ac:dyDescent="0.25">
      <c r="B43" s="183" t="s">
        <v>351</v>
      </c>
      <c r="C43" s="172" t="str">
        <f>IF(C44*0.1&lt;C42,"Exceed 10% Rule","")</f>
        <v/>
      </c>
      <c r="D43" s="172" t="str">
        <f>IF(D44*0.1&lt;D42,"Exceed 10% Rule","")</f>
        <v/>
      </c>
      <c r="E43" s="204" t="str">
        <f>IF(E44*0.1&lt;E42,"Exceed 10% Rule","")</f>
        <v/>
      </c>
    </row>
    <row r="44" spans="2:5" ht="15" x14ac:dyDescent="0.25">
      <c r="B44" s="174" t="s">
        <v>71</v>
      </c>
      <c r="C44" s="176">
        <f>SUM(C21:C42)</f>
        <v>0</v>
      </c>
      <c r="D44" s="176">
        <f>SUM(D21:D42)</f>
        <v>0</v>
      </c>
      <c r="E44" s="177">
        <f>SUM(E21:E42)</f>
        <v>0</v>
      </c>
    </row>
    <row r="45" spans="2:5" ht="15.5" x14ac:dyDescent="0.25">
      <c r="B45" s="93" t="s">
        <v>134</v>
      </c>
      <c r="C45" s="180">
        <f>C19-C44</f>
        <v>0</v>
      </c>
      <c r="D45" s="180">
        <f>D19-D44</f>
        <v>0</v>
      </c>
      <c r="E45" s="50">
        <f>E19-E44</f>
        <v>0</v>
      </c>
    </row>
    <row r="46" spans="2:5" ht="15.5" x14ac:dyDescent="0.25">
      <c r="B46" s="108" t="str">
        <f>CONCATENATE("",E1-2,"/",E1-1,"/",E1," Budget Authority Amount:")</f>
        <v>2024/2025/2026 Budget Authority Amount:</v>
      </c>
      <c r="C46" s="447">
        <f>inputOth!B95</f>
        <v>0</v>
      </c>
      <c r="D46" s="447">
        <f>inputPrYr!D55</f>
        <v>0</v>
      </c>
      <c r="E46" s="459">
        <f>E44</f>
        <v>0</v>
      </c>
    </row>
    <row r="47" spans="2:5" ht="15.5" x14ac:dyDescent="0.25">
      <c r="B47" s="80"/>
      <c r="C47" s="185" t="str">
        <f>IF(C44&gt;C46,"See Tab A","")</f>
        <v/>
      </c>
      <c r="D47" s="185" t="str">
        <f>IF(D44&gt;D46,"See Tab C","")</f>
        <v/>
      </c>
      <c r="E47" s="460" t="str">
        <f>IF(E45&lt;0,"See Tab E","")</f>
        <v/>
      </c>
    </row>
    <row r="48" spans="2:5" ht="15" x14ac:dyDescent="0.25">
      <c r="B48" s="542" t="s">
        <v>535</v>
      </c>
      <c r="C48" s="529"/>
      <c r="D48" s="529"/>
      <c r="E48" s="535"/>
    </row>
    <row r="49" spans="2:5" ht="15.5" x14ac:dyDescent="0.25">
      <c r="B49" s="530"/>
      <c r="C49" s="185"/>
      <c r="D49" s="185"/>
      <c r="E49" s="536"/>
    </row>
    <row r="50" spans="2:5" ht="15.5" x14ac:dyDescent="0.25">
      <c r="B50" s="531"/>
      <c r="C50" s="532" t="str">
        <f>IF(C45&lt;0,"See Tab B","")</f>
        <v/>
      </c>
      <c r="D50" s="532" t="str">
        <f>IF(D45&lt;0,"See Tab D","")</f>
        <v/>
      </c>
      <c r="E50" s="73"/>
    </row>
    <row r="51" spans="2:5" x14ac:dyDescent="0.25">
      <c r="B51" s="40"/>
      <c r="C51" s="40"/>
      <c r="D51" s="40"/>
      <c r="E51" s="40"/>
    </row>
    <row r="52" spans="2:5" ht="15.5" x14ac:dyDescent="0.25">
      <c r="B52" s="274" t="s">
        <v>74</v>
      </c>
      <c r="C52" s="465"/>
      <c r="D52" s="40"/>
      <c r="E52" s="40"/>
    </row>
  </sheetData>
  <sheetProtection sheet="1" objects="1" scenarios="1"/>
  <phoneticPr fontId="8" type="noConversion"/>
  <conditionalFormatting sqref="C16">
    <cfRule type="cellIs" dxfId="12" priority="2" stopIfTrue="1" operator="greaterThan">
      <formula>$C$18*0.1</formula>
    </cfRule>
  </conditionalFormatting>
  <conditionalFormatting sqref="C42">
    <cfRule type="cellIs" dxfId="11" priority="9" stopIfTrue="1" operator="greaterThan">
      <formula>$C$44*0.1</formula>
    </cfRule>
  </conditionalFormatting>
  <conditionalFormatting sqref="C44">
    <cfRule type="cellIs" dxfId="10" priority="11" stopIfTrue="1" operator="greaterThan">
      <formula>$C$46</formula>
    </cfRule>
  </conditionalFormatting>
  <conditionalFormatting sqref="C45">
    <cfRule type="cellIs" dxfId="9" priority="7" stopIfTrue="1" operator="lessThan">
      <formula>0</formula>
    </cfRule>
  </conditionalFormatting>
  <conditionalFormatting sqref="D16">
    <cfRule type="cellIs" dxfId="8" priority="3" stopIfTrue="1" operator="greaterThan">
      <formula>$D$197*0.1</formula>
    </cfRule>
  </conditionalFormatting>
  <conditionalFormatting sqref="D42">
    <cfRule type="cellIs" dxfId="7" priority="8" stopIfTrue="1" operator="greaterThan">
      <formula>$D$44*0.1</formula>
    </cfRule>
  </conditionalFormatting>
  <conditionalFormatting sqref="D44">
    <cfRule type="cellIs" dxfId="6" priority="10" stopIfTrue="1" operator="greaterThan">
      <formula>$D$46</formula>
    </cfRule>
  </conditionalFormatting>
  <conditionalFormatting sqref="D45">
    <cfRule type="cellIs" dxfId="5" priority="4" stopIfTrue="1" operator="lessThan">
      <formula>0</formula>
    </cfRule>
  </conditionalFormatting>
  <conditionalFormatting sqref="E16">
    <cfRule type="cellIs" dxfId="4" priority="5" stopIfTrue="1" operator="greaterThan">
      <formula>$E$18*0.1</formula>
    </cfRule>
  </conditionalFormatting>
  <conditionalFormatting sqref="E42">
    <cfRule type="cellIs" dxfId="3" priority="6" stopIfTrue="1" operator="greaterThan">
      <formula>$E$44*0.1</formula>
    </cfRule>
  </conditionalFormatting>
  <conditionalFormatting sqref="E45:E46">
    <cfRule type="cellIs" dxfId="2" priority="1" stopIfTrue="1" operator="lessThan">
      <formula>0</formula>
    </cfRule>
  </conditionalFormatting>
  <pageMargins left="0.75" right="0.75" top="1" bottom="1" header="0.5" footer="0.5"/>
  <pageSetup scale="80" orientation="portrait" blackAndWhite="1" r:id="rId1"/>
  <headerFooter alignWithMargins="0">
    <oddHeader>&amp;RState of Kansas
City</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DD571"/>
    <pageSetUpPr fitToPage="1"/>
  </sheetPr>
  <dimension ref="A1:L46"/>
  <sheetViews>
    <sheetView workbookViewId="0">
      <selection activeCell="I28" sqref="I28"/>
    </sheetView>
  </sheetViews>
  <sheetFormatPr defaultColWidth="8.9140625" defaultRowHeight="15.5" x14ac:dyDescent="0.25"/>
  <cols>
    <col min="1" max="1" width="11.58203125" style="24" customWidth="1"/>
    <col min="2" max="2" width="7.4140625" style="24" customWidth="1"/>
    <col min="3" max="3" width="11.58203125" style="24" customWidth="1"/>
    <col min="4" max="4" width="7.4140625" style="24" customWidth="1"/>
    <col min="5" max="5" width="11.58203125" style="24" customWidth="1"/>
    <col min="6" max="6" width="7.4140625" style="24" customWidth="1"/>
    <col min="7" max="7" width="11.58203125" style="24" customWidth="1"/>
    <col min="8" max="8" width="7.4140625" style="24" customWidth="1"/>
    <col min="9" max="9" width="11.58203125" style="24" customWidth="1"/>
    <col min="10" max="16384" width="8.9140625" style="24"/>
  </cols>
  <sheetData>
    <row r="1" spans="1:11" x14ac:dyDescent="0.25">
      <c r="A1" s="47" t="str">
        <f>inputPrYr!$D$3</f>
        <v>The City of Colby</v>
      </c>
      <c r="B1" s="109"/>
      <c r="C1" s="28"/>
      <c r="D1" s="28"/>
      <c r="E1" s="28"/>
      <c r="F1" s="110" t="s">
        <v>145</v>
      </c>
      <c r="G1" s="28"/>
      <c r="H1" s="28"/>
      <c r="I1" s="28"/>
      <c r="J1" s="28"/>
      <c r="K1" s="28">
        <f>inputPrYr!$C$6</f>
        <v>2026</v>
      </c>
    </row>
    <row r="2" spans="1:11" x14ac:dyDescent="0.25">
      <c r="A2" s="28"/>
      <c r="B2" s="28"/>
      <c r="C2" s="28"/>
      <c r="D2" s="28"/>
      <c r="E2" s="28"/>
      <c r="F2" s="205" t="str">
        <f>CONCATENATE("(Only the actual budget year for ",K1-2," is reported)")</f>
        <v>(Only the actual budget year for 2024 is reported)</v>
      </c>
      <c r="G2" s="28"/>
      <c r="H2" s="28"/>
      <c r="I2" s="28"/>
      <c r="J2" s="28"/>
      <c r="K2" s="28"/>
    </row>
    <row r="3" spans="1:11" x14ac:dyDescent="0.25">
      <c r="A3" s="28" t="s">
        <v>188</v>
      </c>
      <c r="B3" s="28"/>
      <c r="C3" s="28"/>
      <c r="D3" s="28"/>
      <c r="E3" s="28"/>
      <c r="F3" s="68"/>
      <c r="G3" s="28"/>
      <c r="H3" s="28"/>
      <c r="I3" s="28"/>
      <c r="J3" s="28"/>
      <c r="K3" s="28"/>
    </row>
    <row r="4" spans="1:11" x14ac:dyDescent="0.25">
      <c r="A4" s="28" t="s">
        <v>146</v>
      </c>
      <c r="B4" s="28"/>
      <c r="C4" s="28" t="s">
        <v>147</v>
      </c>
      <c r="D4" s="28"/>
      <c r="E4" s="28" t="s">
        <v>148</v>
      </c>
      <c r="F4" s="109"/>
      <c r="G4" s="28" t="s">
        <v>149</v>
      </c>
      <c r="H4" s="28"/>
      <c r="I4" s="28" t="s">
        <v>150</v>
      </c>
      <c r="J4" s="28"/>
      <c r="K4" s="28"/>
    </row>
    <row r="5" spans="1:11" x14ac:dyDescent="0.25">
      <c r="A5" s="779" t="str">
        <f>IF(inputPrYr!B58&gt;" ",(inputPrYr!B58)," ")</f>
        <v>Capital Improvement</v>
      </c>
      <c r="B5" s="780"/>
      <c r="C5" s="779" t="str">
        <f>IF(inputPrYr!B59&gt;" ",(inputPrYr!B59)," ")</f>
        <v>Municipal Equipment</v>
      </c>
      <c r="D5" s="780"/>
      <c r="E5" s="779" t="str">
        <f>IF(inputPrYr!B60&gt;" ",(inputPrYr!B60)," ")</f>
        <v>Financed Projects</v>
      </c>
      <c r="F5" s="780"/>
      <c r="G5" s="779" t="str">
        <f>IF(inputPrYr!B61&gt;" ",(inputPrYr!B61)," ")</f>
        <v>Water Treatment</v>
      </c>
      <c r="H5" s="780"/>
      <c r="I5" s="779" t="str">
        <f>IF(inputPrYr!B62&gt;" ",(inputPrYr!B62)," ")</f>
        <v>Grant Projects</v>
      </c>
      <c r="J5" s="780"/>
      <c r="K5" s="43"/>
    </row>
    <row r="6" spans="1:11" x14ac:dyDescent="0.25">
      <c r="A6" s="206" t="s">
        <v>151</v>
      </c>
      <c r="B6" s="207"/>
      <c r="C6" s="208" t="s">
        <v>151</v>
      </c>
      <c r="D6" s="209"/>
      <c r="E6" s="208" t="s">
        <v>151</v>
      </c>
      <c r="F6" s="103"/>
      <c r="G6" s="208" t="s">
        <v>151</v>
      </c>
      <c r="H6" s="54"/>
      <c r="I6" s="208" t="s">
        <v>151</v>
      </c>
      <c r="J6" s="28"/>
      <c r="K6" s="99" t="s">
        <v>35</v>
      </c>
    </row>
    <row r="7" spans="1:11" x14ac:dyDescent="0.25">
      <c r="A7" s="210" t="s">
        <v>10</v>
      </c>
      <c r="B7" s="211">
        <f>4515080+67130</f>
        <v>4582210</v>
      </c>
      <c r="C7" s="212" t="s">
        <v>10</v>
      </c>
      <c r="D7" s="211">
        <f>1734534+1940</f>
        <v>1736474</v>
      </c>
      <c r="E7" s="212" t="s">
        <v>10</v>
      </c>
      <c r="F7" s="211">
        <v>333815</v>
      </c>
      <c r="G7" s="212" t="s">
        <v>10</v>
      </c>
      <c r="H7" s="211">
        <v>126354</v>
      </c>
      <c r="I7" s="212" t="s">
        <v>10</v>
      </c>
      <c r="J7" s="211">
        <v>0</v>
      </c>
      <c r="K7" s="213">
        <f>SUM(B7+D7+F7+H7+J7)</f>
        <v>6778853</v>
      </c>
    </row>
    <row r="8" spans="1:11" x14ac:dyDescent="0.25">
      <c r="A8" s="214" t="s">
        <v>135</v>
      </c>
      <c r="B8" s="215"/>
      <c r="C8" s="214" t="s">
        <v>135</v>
      </c>
      <c r="D8" s="216"/>
      <c r="E8" s="214" t="s">
        <v>135</v>
      </c>
      <c r="F8" s="109"/>
      <c r="G8" s="214" t="s">
        <v>135</v>
      </c>
      <c r="H8" s="28"/>
      <c r="I8" s="214" t="s">
        <v>135</v>
      </c>
      <c r="J8" s="28"/>
      <c r="K8" s="109"/>
    </row>
    <row r="9" spans="1:11" x14ac:dyDescent="0.25">
      <c r="A9" s="217" t="s">
        <v>1126</v>
      </c>
      <c r="B9" s="211">
        <v>380524</v>
      </c>
      <c r="C9" s="217" t="s">
        <v>1126</v>
      </c>
      <c r="D9" s="211">
        <v>134707</v>
      </c>
      <c r="E9" s="217" t="s">
        <v>345</v>
      </c>
      <c r="F9" s="211">
        <v>1756343</v>
      </c>
      <c r="G9" s="217" t="s">
        <v>1148</v>
      </c>
      <c r="H9" s="211">
        <v>550000</v>
      </c>
      <c r="I9" s="217"/>
      <c r="J9" s="211"/>
      <c r="K9" s="109"/>
    </row>
    <row r="10" spans="1:11" x14ac:dyDescent="0.25">
      <c r="A10" s="217" t="s">
        <v>1127</v>
      </c>
      <c r="B10" s="211">
        <v>800460</v>
      </c>
      <c r="C10" s="217" t="s">
        <v>1127</v>
      </c>
      <c r="D10" s="211">
        <v>78915</v>
      </c>
      <c r="E10" s="217"/>
      <c r="F10" s="211"/>
      <c r="G10" s="217"/>
      <c r="H10" s="211"/>
      <c r="I10" s="217"/>
      <c r="J10" s="211"/>
      <c r="K10" s="109"/>
    </row>
    <row r="11" spans="1:11" x14ac:dyDescent="0.25">
      <c r="A11" s="217" t="s">
        <v>1128</v>
      </c>
      <c r="B11" s="211">
        <v>588375</v>
      </c>
      <c r="C11" s="217" t="s">
        <v>1128</v>
      </c>
      <c r="D11" s="211">
        <v>53926</v>
      </c>
      <c r="E11" s="218"/>
      <c r="F11" s="211"/>
      <c r="G11" s="218"/>
      <c r="H11" s="211"/>
      <c r="I11" s="219"/>
      <c r="J11" s="211"/>
      <c r="K11" s="109"/>
    </row>
    <row r="12" spans="1:11" x14ac:dyDescent="0.25">
      <c r="A12" s="217" t="s">
        <v>1129</v>
      </c>
      <c r="B12" s="211">
        <v>227250</v>
      </c>
      <c r="C12" s="217" t="s">
        <v>1129</v>
      </c>
      <c r="D12" s="211">
        <v>46170</v>
      </c>
      <c r="E12" s="220"/>
      <c r="F12" s="211"/>
      <c r="G12" s="220"/>
      <c r="H12" s="211"/>
      <c r="I12" s="220"/>
      <c r="J12" s="211"/>
      <c r="K12" s="109"/>
    </row>
    <row r="13" spans="1:11" x14ac:dyDescent="0.25">
      <c r="A13" s="221" t="s">
        <v>1130</v>
      </c>
      <c r="B13" s="211">
        <v>12500</v>
      </c>
      <c r="C13" s="221" t="s">
        <v>1137</v>
      </c>
      <c r="D13" s="211">
        <v>60000</v>
      </c>
      <c r="E13" s="222"/>
      <c r="F13" s="211"/>
      <c r="G13" s="222"/>
      <c r="H13" s="211"/>
      <c r="I13" s="219"/>
      <c r="J13" s="211"/>
      <c r="K13" s="109"/>
    </row>
    <row r="14" spans="1:11" x14ac:dyDescent="0.25">
      <c r="A14" s="217" t="s">
        <v>1131</v>
      </c>
      <c r="B14" s="211">
        <v>133683</v>
      </c>
      <c r="C14" s="220" t="s">
        <v>1141</v>
      </c>
      <c r="D14" s="211">
        <v>44217</v>
      </c>
      <c r="E14" s="220"/>
      <c r="F14" s="211"/>
      <c r="G14" s="220"/>
      <c r="H14" s="211"/>
      <c r="I14" s="220"/>
      <c r="J14" s="211"/>
      <c r="K14" s="109"/>
    </row>
    <row r="15" spans="1:11" x14ac:dyDescent="0.25">
      <c r="A15" s="217" t="s">
        <v>1135</v>
      </c>
      <c r="B15" s="211">
        <v>100000</v>
      </c>
      <c r="C15" s="220" t="s">
        <v>1131</v>
      </c>
      <c r="D15" s="211">
        <v>5000</v>
      </c>
      <c r="E15" s="220"/>
      <c r="F15" s="211"/>
      <c r="G15" s="220"/>
      <c r="H15" s="211"/>
      <c r="I15" s="220"/>
      <c r="J15" s="211"/>
      <c r="K15" s="109"/>
    </row>
    <row r="16" spans="1:11" x14ac:dyDescent="0.25">
      <c r="A16" s="217" t="s">
        <v>1134</v>
      </c>
      <c r="B16" s="211">
        <v>137020</v>
      </c>
      <c r="C16" s="220" t="s">
        <v>1138</v>
      </c>
      <c r="D16" s="211">
        <v>20588</v>
      </c>
      <c r="E16" s="220"/>
      <c r="F16" s="211"/>
      <c r="G16" s="220"/>
      <c r="H16" s="211"/>
      <c r="I16" s="220"/>
      <c r="J16" s="211"/>
      <c r="K16" s="109"/>
    </row>
    <row r="17" spans="1:12" x14ac:dyDescent="0.25">
      <c r="A17" s="217" t="s">
        <v>63</v>
      </c>
      <c r="B17" s="211">
        <v>302226</v>
      </c>
      <c r="C17" s="217" t="s">
        <v>63</v>
      </c>
      <c r="D17" s="211">
        <v>52271</v>
      </c>
      <c r="E17" s="217" t="s">
        <v>63</v>
      </c>
      <c r="F17" s="211">
        <v>37038</v>
      </c>
      <c r="G17" s="220"/>
      <c r="H17" s="211"/>
      <c r="I17" s="217" t="s">
        <v>63</v>
      </c>
      <c r="J17" s="211">
        <v>770</v>
      </c>
      <c r="K17" s="109"/>
    </row>
    <row r="18" spans="1:12" x14ac:dyDescent="0.25">
      <c r="A18" s="214" t="s">
        <v>64</v>
      </c>
      <c r="B18" s="213">
        <f>SUM(B9:B17)</f>
        <v>2682038</v>
      </c>
      <c r="C18" s="214" t="s">
        <v>64</v>
      </c>
      <c r="D18" s="213">
        <f>SUM(D9:D17)</f>
        <v>495794</v>
      </c>
      <c r="E18" s="214" t="s">
        <v>64</v>
      </c>
      <c r="F18" s="252">
        <f>SUM(F9:F17)</f>
        <v>1793381</v>
      </c>
      <c r="G18" s="214" t="s">
        <v>64</v>
      </c>
      <c r="H18" s="213">
        <f>SUM(H9:H17)</f>
        <v>550000</v>
      </c>
      <c r="I18" s="214" t="s">
        <v>64</v>
      </c>
      <c r="J18" s="213">
        <f>SUM(J9:J17)</f>
        <v>770</v>
      </c>
      <c r="K18" s="213">
        <f>SUM(B18+D18+F18+H18+J18)</f>
        <v>5521983</v>
      </c>
    </row>
    <row r="19" spans="1:12" x14ac:dyDescent="0.25">
      <c r="A19" s="214" t="s">
        <v>65</v>
      </c>
      <c r="B19" s="213">
        <f>SUM(B7+B18)</f>
        <v>7264248</v>
      </c>
      <c r="C19" s="214" t="s">
        <v>65</v>
      </c>
      <c r="D19" s="213">
        <f>SUM(D7+D18)</f>
        <v>2232268</v>
      </c>
      <c r="E19" s="214" t="s">
        <v>65</v>
      </c>
      <c r="F19" s="213">
        <f>SUM(F7+F18)</f>
        <v>2127196</v>
      </c>
      <c r="G19" s="214" t="s">
        <v>65</v>
      </c>
      <c r="H19" s="213">
        <f>SUM(H7+H18)</f>
        <v>676354</v>
      </c>
      <c r="I19" s="214" t="s">
        <v>65</v>
      </c>
      <c r="J19" s="213">
        <f>SUM(J7+J18)</f>
        <v>770</v>
      </c>
      <c r="K19" s="213">
        <f>SUM(B19+D19+F19+H19+J19)</f>
        <v>12300836</v>
      </c>
    </row>
    <row r="20" spans="1:12" x14ac:dyDescent="0.25">
      <c r="A20" s="214" t="s">
        <v>67</v>
      </c>
      <c r="B20" s="215"/>
      <c r="C20" s="214" t="s">
        <v>67</v>
      </c>
      <c r="D20" s="216"/>
      <c r="E20" s="214" t="s">
        <v>67</v>
      </c>
      <c r="F20" s="109"/>
      <c r="G20" s="214" t="s">
        <v>67</v>
      </c>
      <c r="H20" s="28"/>
      <c r="I20" s="214" t="s">
        <v>67</v>
      </c>
      <c r="J20" s="28"/>
      <c r="K20" s="109"/>
    </row>
    <row r="21" spans="1:12" x14ac:dyDescent="0.25">
      <c r="A21" s="217" t="s">
        <v>33</v>
      </c>
      <c r="B21" s="211">
        <v>194581</v>
      </c>
      <c r="C21" s="220" t="s">
        <v>33</v>
      </c>
      <c r="D21" s="211">
        <v>250223</v>
      </c>
      <c r="E21" s="220" t="s">
        <v>1019</v>
      </c>
      <c r="F21" s="211">
        <v>128480</v>
      </c>
      <c r="G21" s="220" t="s">
        <v>1066</v>
      </c>
      <c r="H21" s="211">
        <v>63505</v>
      </c>
      <c r="I21" s="220"/>
      <c r="J21" s="211"/>
      <c r="K21" s="109"/>
    </row>
    <row r="22" spans="1:12" x14ac:dyDescent="0.25">
      <c r="A22" s="217" t="s">
        <v>1132</v>
      </c>
      <c r="B22" s="211">
        <v>25342</v>
      </c>
      <c r="C22" s="220" t="s">
        <v>1132</v>
      </c>
      <c r="D22" s="211">
        <v>55969</v>
      </c>
      <c r="E22" s="220" t="s">
        <v>1143</v>
      </c>
      <c r="F22" s="211">
        <v>0</v>
      </c>
      <c r="G22" s="220" t="s">
        <v>1103</v>
      </c>
      <c r="H22" s="211">
        <v>392105</v>
      </c>
      <c r="I22" s="220"/>
      <c r="J22" s="211"/>
      <c r="K22" s="109"/>
    </row>
    <row r="23" spans="1:12" x14ac:dyDescent="0.25">
      <c r="A23" s="217" t="s">
        <v>1136</v>
      </c>
      <c r="B23" s="211">
        <v>139400</v>
      </c>
      <c r="C23" s="222" t="s">
        <v>1133</v>
      </c>
      <c r="D23" s="211">
        <v>5910</v>
      </c>
      <c r="E23" s="222"/>
      <c r="F23" s="211"/>
      <c r="G23" s="222"/>
      <c r="H23" s="211"/>
      <c r="I23" s="219"/>
      <c r="J23" s="211"/>
      <c r="K23" s="109"/>
    </row>
    <row r="24" spans="1:12" x14ac:dyDescent="0.25">
      <c r="A24" s="217" t="s">
        <v>972</v>
      </c>
      <c r="B24" s="211">
        <v>32921</v>
      </c>
      <c r="C24" s="220" t="s">
        <v>1142</v>
      </c>
      <c r="D24" s="211">
        <v>49614</v>
      </c>
      <c r="E24" s="220"/>
      <c r="F24" s="211"/>
      <c r="G24" s="220"/>
      <c r="H24" s="211"/>
      <c r="I24" s="220"/>
      <c r="J24" s="211"/>
      <c r="K24" s="109"/>
    </row>
    <row r="25" spans="1:12" x14ac:dyDescent="0.25">
      <c r="A25" s="217" t="s">
        <v>993</v>
      </c>
      <c r="B25" s="211">
        <v>170000</v>
      </c>
      <c r="C25" s="222" t="s">
        <v>1139</v>
      </c>
      <c r="D25" s="211">
        <v>195288</v>
      </c>
      <c r="E25" s="222" t="s">
        <v>1147</v>
      </c>
      <c r="F25" s="211">
        <v>100000</v>
      </c>
      <c r="G25" s="222"/>
      <c r="H25" s="211"/>
      <c r="I25" s="219"/>
      <c r="J25" s="211"/>
      <c r="K25" s="109"/>
    </row>
    <row r="26" spans="1:12" x14ac:dyDescent="0.25">
      <c r="A26" s="217"/>
      <c r="B26" s="211"/>
      <c r="C26" s="220" t="s">
        <v>1140</v>
      </c>
      <c r="D26" s="211">
        <v>84000</v>
      </c>
      <c r="E26" s="220" t="s">
        <v>1146</v>
      </c>
      <c r="F26" s="211">
        <v>1056250</v>
      </c>
      <c r="G26" s="220"/>
      <c r="H26" s="211"/>
      <c r="I26" s="220"/>
      <c r="J26" s="211"/>
      <c r="K26" s="109"/>
    </row>
    <row r="27" spans="1:12" x14ac:dyDescent="0.25">
      <c r="A27" s="217"/>
      <c r="B27" s="211"/>
      <c r="C27" s="220" t="s">
        <v>972</v>
      </c>
      <c r="D27" s="211">
        <v>8250</v>
      </c>
      <c r="E27" s="220" t="s">
        <v>1145</v>
      </c>
      <c r="F27" s="211">
        <v>83928</v>
      </c>
      <c r="G27" s="220"/>
      <c r="H27" s="211"/>
      <c r="I27" s="220"/>
      <c r="J27" s="211"/>
      <c r="K27" s="109"/>
    </row>
    <row r="28" spans="1:12" x14ac:dyDescent="0.25">
      <c r="A28" s="217"/>
      <c r="B28" s="211"/>
      <c r="C28" s="217"/>
      <c r="D28" s="211"/>
      <c r="E28" s="217" t="s">
        <v>1144</v>
      </c>
      <c r="F28" s="211">
        <v>156806</v>
      </c>
      <c r="G28" s="220"/>
      <c r="H28" s="211"/>
      <c r="I28" s="220" t="s">
        <v>1149</v>
      </c>
      <c r="J28" s="211">
        <v>770</v>
      </c>
      <c r="K28" s="109"/>
    </row>
    <row r="29" spans="1:12" x14ac:dyDescent="0.25">
      <c r="A29" s="214" t="s">
        <v>71</v>
      </c>
      <c r="B29" s="213">
        <f>SUM(B21:B28)</f>
        <v>562244</v>
      </c>
      <c r="C29" s="214" t="s">
        <v>71</v>
      </c>
      <c r="D29" s="213">
        <f>SUM(D21:D28)</f>
        <v>649254</v>
      </c>
      <c r="E29" s="214" t="s">
        <v>71</v>
      </c>
      <c r="F29" s="252">
        <f>SUM(F21:F28)</f>
        <v>1525464</v>
      </c>
      <c r="G29" s="214" t="s">
        <v>71</v>
      </c>
      <c r="H29" s="252">
        <f>SUM(H21:H28)</f>
        <v>455610</v>
      </c>
      <c r="I29" s="214" t="s">
        <v>71</v>
      </c>
      <c r="J29" s="213">
        <f>SUM(J21:J28)</f>
        <v>770</v>
      </c>
      <c r="K29" s="213">
        <f>SUM(B29+D29+F29+H29+J29)</f>
        <v>3193342</v>
      </c>
    </row>
    <row r="30" spans="1:12" x14ac:dyDescent="0.25">
      <c r="A30" s="214" t="s">
        <v>152</v>
      </c>
      <c r="B30" s="213">
        <f>SUM(B19-B29)</f>
        <v>6702004</v>
      </c>
      <c r="C30" s="214" t="s">
        <v>152</v>
      </c>
      <c r="D30" s="213">
        <f>SUM(D19-D29)</f>
        <v>1583014</v>
      </c>
      <c r="E30" s="214" t="s">
        <v>152</v>
      </c>
      <c r="F30" s="213">
        <f>SUM(F19-F29)</f>
        <v>601732</v>
      </c>
      <c r="G30" s="214" t="s">
        <v>152</v>
      </c>
      <c r="H30" s="213">
        <f>SUM(H19-H29)</f>
        <v>220744</v>
      </c>
      <c r="I30" s="214" t="s">
        <v>152</v>
      </c>
      <c r="J30" s="213">
        <f>SUM(J19-J29)</f>
        <v>0</v>
      </c>
      <c r="K30" s="223">
        <f>SUM(B30+D30+F30+H30+J30)</f>
        <v>9107494</v>
      </c>
      <c r="L30" s="24" t="s">
        <v>211</v>
      </c>
    </row>
    <row r="31" spans="1:12" x14ac:dyDescent="0.25">
      <c r="A31" s="214"/>
      <c r="B31" s="243" t="str">
        <f>IF(B30&lt;0,"See Tab B","")</f>
        <v/>
      </c>
      <c r="C31" s="214"/>
      <c r="D31" s="243" t="str">
        <f>IF(D30&lt;0,"See Tab B","")</f>
        <v/>
      </c>
      <c r="E31" s="214"/>
      <c r="F31" s="243" t="str">
        <f>IF(F30&lt;0,"See Tab B","")</f>
        <v/>
      </c>
      <c r="G31" s="28"/>
      <c r="H31" s="243" t="str">
        <f>IF(H30&lt;0,"See Tab B","")</f>
        <v/>
      </c>
      <c r="I31" s="28"/>
      <c r="J31" s="243" t="str">
        <f>IF(J30&lt;0,"See Tab B","")</f>
        <v/>
      </c>
      <c r="K31" s="223">
        <f>SUM(K7+K18-K29)</f>
        <v>9107494</v>
      </c>
      <c r="L31" s="24" t="s">
        <v>211</v>
      </c>
    </row>
    <row r="32" spans="1:12" x14ac:dyDescent="0.25">
      <c r="A32" s="28"/>
      <c r="B32" s="56"/>
      <c r="C32" s="28"/>
      <c r="D32" s="109"/>
      <c r="E32" s="28"/>
      <c r="F32" s="28"/>
      <c r="G32" s="28"/>
      <c r="H32" s="778" t="s">
        <v>213</v>
      </c>
      <c r="I32" s="778"/>
      <c r="J32" s="778"/>
      <c r="K32" s="778"/>
    </row>
    <row r="33" spans="1:11" x14ac:dyDescent="0.25">
      <c r="A33" s="28"/>
      <c r="B33" s="56"/>
      <c r="C33" s="28"/>
      <c r="D33" s="28"/>
      <c r="E33" s="28"/>
      <c r="F33" s="28"/>
      <c r="G33" s="28"/>
      <c r="H33" s="28"/>
      <c r="I33" s="28"/>
      <c r="J33" s="28"/>
      <c r="K33" s="28"/>
    </row>
    <row r="34" spans="1:11" x14ac:dyDescent="0.25">
      <c r="A34" s="540" t="s">
        <v>537</v>
      </c>
      <c r="B34" s="112"/>
      <c r="C34" s="69"/>
      <c r="D34" s="69"/>
      <c r="E34" s="69"/>
      <c r="F34" s="69"/>
      <c r="G34" s="69"/>
      <c r="H34" s="69"/>
      <c r="I34" s="69"/>
      <c r="J34" s="69"/>
      <c r="K34" s="512"/>
    </row>
    <row r="35" spans="1:11" x14ac:dyDescent="0.25">
      <c r="A35" s="537"/>
      <c r="B35" s="56"/>
      <c r="C35" s="28"/>
      <c r="D35" s="28"/>
      <c r="E35" s="28"/>
      <c r="F35" s="28"/>
      <c r="G35" s="28"/>
      <c r="H35" s="28"/>
      <c r="I35" s="28"/>
      <c r="J35" s="28"/>
      <c r="K35" s="538"/>
    </row>
    <row r="36" spans="1:11" x14ac:dyDescent="0.25">
      <c r="A36" s="515"/>
      <c r="B36" s="111"/>
      <c r="C36" s="43"/>
      <c r="D36" s="43"/>
      <c r="E36" s="43"/>
      <c r="F36" s="43"/>
      <c r="G36" s="43"/>
      <c r="H36" s="43"/>
      <c r="I36" s="43"/>
      <c r="J36" s="43"/>
      <c r="K36" s="49"/>
    </row>
    <row r="37" spans="1:11" x14ac:dyDescent="0.25">
      <c r="A37" s="28"/>
      <c r="B37" s="56"/>
      <c r="C37" s="28"/>
      <c r="D37" s="28"/>
      <c r="E37" s="28"/>
      <c r="F37" s="28"/>
      <c r="G37" s="28"/>
      <c r="H37" s="28"/>
      <c r="I37" s="28"/>
      <c r="J37" s="28"/>
      <c r="K37" s="28"/>
    </row>
    <row r="38" spans="1:11" x14ac:dyDescent="0.25">
      <c r="A38" s="28"/>
      <c r="B38" s="56"/>
      <c r="C38" s="28"/>
      <c r="D38" s="28"/>
      <c r="E38" s="80" t="s">
        <v>74</v>
      </c>
      <c r="F38" s="465">
        <v>17</v>
      </c>
      <c r="G38" s="28"/>
      <c r="H38" s="28"/>
      <c r="I38" s="28"/>
      <c r="J38" s="28"/>
      <c r="K38" s="28"/>
    </row>
    <row r="39" spans="1:11" x14ac:dyDescent="0.25">
      <c r="B39" s="224"/>
    </row>
    <row r="40" spans="1:11" x14ac:dyDescent="0.25">
      <c r="B40" s="224"/>
    </row>
    <row r="41" spans="1:11" x14ac:dyDescent="0.25">
      <c r="B41" s="224"/>
    </row>
    <row r="42" spans="1:11" x14ac:dyDescent="0.25">
      <c r="B42" s="224"/>
    </row>
    <row r="43" spans="1:11" x14ac:dyDescent="0.25">
      <c r="B43" s="224"/>
    </row>
    <row r="44" spans="1:11" x14ac:dyDescent="0.25">
      <c r="B44" s="224"/>
    </row>
    <row r="45" spans="1:11" x14ac:dyDescent="0.25">
      <c r="B45" s="224"/>
    </row>
    <row r="46" spans="1:11" x14ac:dyDescent="0.25">
      <c r="B46" s="224"/>
    </row>
  </sheetData>
  <mergeCells count="6">
    <mergeCell ref="H32:K32"/>
    <mergeCell ref="I5:J5"/>
    <mergeCell ref="A5:B5"/>
    <mergeCell ref="C5:D5"/>
    <mergeCell ref="E5:F5"/>
    <mergeCell ref="G5:H5"/>
  </mergeCells>
  <phoneticPr fontId="8" type="noConversion"/>
  <pageMargins left="0.75" right="0.75" top="1" bottom="1" header="0.5" footer="0.5"/>
  <pageSetup scale="79" orientation="landscape" blackAndWhite="1" r:id="rId1"/>
  <headerFooter alignWithMargins="0">
    <oddHeader>&amp;RState of Kansas
City</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DD571"/>
    <pageSetUpPr fitToPage="1"/>
  </sheetPr>
  <dimension ref="A1:L45"/>
  <sheetViews>
    <sheetView workbookViewId="0">
      <selection activeCell="B21" sqref="B21"/>
    </sheetView>
  </sheetViews>
  <sheetFormatPr defaultColWidth="8.9140625" defaultRowHeight="15.5" x14ac:dyDescent="0.25"/>
  <cols>
    <col min="1" max="1" width="11.58203125" style="24" customWidth="1"/>
    <col min="2" max="2" width="7.4140625" style="24" customWidth="1"/>
    <col min="3" max="3" width="11.58203125" style="24" customWidth="1"/>
    <col min="4" max="4" width="7.4140625" style="24" customWidth="1"/>
    <col min="5" max="5" width="11.58203125" style="24" customWidth="1"/>
    <col min="6" max="6" width="7.4140625" style="24" customWidth="1"/>
    <col min="7" max="7" width="11.58203125" style="24" customWidth="1"/>
    <col min="8" max="8" width="7.4140625" style="24" customWidth="1"/>
    <col min="9" max="9" width="11.58203125" style="24" customWidth="1"/>
    <col min="10" max="16384" width="8.9140625" style="24"/>
  </cols>
  <sheetData>
    <row r="1" spans="1:11" x14ac:dyDescent="0.25">
      <c r="A1" s="47" t="str">
        <f>inputPrYr!$D$3</f>
        <v>The City of Colby</v>
      </c>
      <c r="B1" s="109"/>
      <c r="C1" s="28"/>
      <c r="D1" s="28"/>
      <c r="E1" s="28"/>
      <c r="F1" s="110" t="s">
        <v>153</v>
      </c>
      <c r="G1" s="28"/>
      <c r="H1" s="28"/>
      <c r="I1" s="28"/>
      <c r="J1" s="28"/>
      <c r="K1" s="28">
        <f>inputPrYr!$C$6</f>
        <v>2026</v>
      </c>
    </row>
    <row r="2" spans="1:11" x14ac:dyDescent="0.25">
      <c r="A2" s="28"/>
      <c r="B2" s="28"/>
      <c r="C2" s="28"/>
      <c r="D2" s="28"/>
      <c r="E2" s="28"/>
      <c r="F2" s="205" t="str">
        <f>CONCATENATE("(Only the actual budget year for ",K1-2," is reported)")</f>
        <v>(Only the actual budget year for 2024 is reported)</v>
      </c>
      <c r="G2" s="28"/>
      <c r="H2" s="28"/>
      <c r="I2" s="28"/>
      <c r="J2" s="28"/>
      <c r="K2" s="28"/>
    </row>
    <row r="3" spans="1:11" x14ac:dyDescent="0.25">
      <c r="A3" s="28" t="s">
        <v>187</v>
      </c>
      <c r="B3" s="28"/>
      <c r="C3" s="28"/>
      <c r="D3" s="28"/>
      <c r="E3" s="28"/>
      <c r="F3" s="109"/>
      <c r="G3" s="28"/>
      <c r="H3" s="28"/>
      <c r="I3" s="28"/>
      <c r="J3" s="28"/>
      <c r="K3" s="28"/>
    </row>
    <row r="4" spans="1:11" x14ac:dyDescent="0.25">
      <c r="A4" s="28" t="s">
        <v>146</v>
      </c>
      <c r="B4" s="28"/>
      <c r="C4" s="28" t="s">
        <v>147</v>
      </c>
      <c r="D4" s="28"/>
      <c r="E4" s="28" t="s">
        <v>148</v>
      </c>
      <c r="F4" s="109"/>
      <c r="G4" s="28" t="s">
        <v>149</v>
      </c>
      <c r="H4" s="28"/>
      <c r="I4" s="28" t="s">
        <v>150</v>
      </c>
      <c r="J4" s="28"/>
      <c r="K4" s="28"/>
    </row>
    <row r="5" spans="1:11" x14ac:dyDescent="0.25">
      <c r="A5" s="779" t="str">
        <f>IF(inputPrYr!B64&gt;" ",(inputPrYr!B64)," ")</f>
        <v>Risk Management</v>
      </c>
      <c r="B5" s="780"/>
      <c r="C5" s="779" t="str">
        <f>IF(inputPrYr!B65&gt;" ",(inputPrYr!B65)," ")</f>
        <v xml:space="preserve"> </v>
      </c>
      <c r="D5" s="780"/>
      <c r="E5" s="779" t="str">
        <f>IF(inputPrYr!B66&gt;" ",(inputPrYr!B66)," ")</f>
        <v xml:space="preserve"> </v>
      </c>
      <c r="F5" s="780"/>
      <c r="G5" s="779" t="str">
        <f>IF(inputPrYr!B67&gt;" ",(inputPrYr!B67)," ")</f>
        <v xml:space="preserve"> </v>
      </c>
      <c r="H5" s="780"/>
      <c r="I5" s="779" t="str">
        <f>IF(inputPrYr!B68&gt;" ",(inputPrYr!B68)," ")</f>
        <v xml:space="preserve"> </v>
      </c>
      <c r="J5" s="780"/>
      <c r="K5" s="43"/>
    </row>
    <row r="6" spans="1:11" x14ac:dyDescent="0.25">
      <c r="A6" s="206" t="s">
        <v>151</v>
      </c>
      <c r="B6" s="207"/>
      <c r="C6" s="208" t="s">
        <v>151</v>
      </c>
      <c r="D6" s="209"/>
      <c r="E6" s="208" t="s">
        <v>151</v>
      </c>
      <c r="F6" s="103"/>
      <c r="G6" s="208" t="s">
        <v>151</v>
      </c>
      <c r="H6" s="54"/>
      <c r="I6" s="208" t="s">
        <v>151</v>
      </c>
      <c r="J6" s="28"/>
      <c r="K6" s="99" t="s">
        <v>35</v>
      </c>
    </row>
    <row r="7" spans="1:11" x14ac:dyDescent="0.25">
      <c r="A7" s="210" t="s">
        <v>10</v>
      </c>
      <c r="B7" s="211">
        <v>400658</v>
      </c>
      <c r="C7" s="212" t="s">
        <v>10</v>
      </c>
      <c r="D7" s="211"/>
      <c r="E7" s="212" t="s">
        <v>10</v>
      </c>
      <c r="F7" s="211"/>
      <c r="G7" s="212" t="s">
        <v>10</v>
      </c>
      <c r="H7" s="211"/>
      <c r="I7" s="212" t="s">
        <v>10</v>
      </c>
      <c r="J7" s="211"/>
      <c r="K7" s="213">
        <f>SUM(B7+D7+F7+H7+J7)</f>
        <v>400658</v>
      </c>
    </row>
    <row r="8" spans="1:11" x14ac:dyDescent="0.25">
      <c r="A8" s="214" t="s">
        <v>135</v>
      </c>
      <c r="B8" s="215"/>
      <c r="C8" s="214" t="s">
        <v>135</v>
      </c>
      <c r="D8" s="216"/>
      <c r="E8" s="214" t="s">
        <v>135</v>
      </c>
      <c r="F8" s="109"/>
      <c r="G8" s="214" t="s">
        <v>135</v>
      </c>
      <c r="H8" s="28"/>
      <c r="I8" s="214" t="s">
        <v>135</v>
      </c>
      <c r="J8" s="28"/>
      <c r="K8" s="109"/>
    </row>
    <row r="9" spans="1:11" x14ac:dyDescent="0.25">
      <c r="A9" s="217" t="s">
        <v>1150</v>
      </c>
      <c r="B9" s="211">
        <v>17294</v>
      </c>
      <c r="C9" s="217"/>
      <c r="D9" s="211"/>
      <c r="E9" s="217"/>
      <c r="F9" s="211"/>
      <c r="G9" s="217"/>
      <c r="H9" s="211"/>
      <c r="I9" s="217"/>
      <c r="J9" s="211"/>
      <c r="K9" s="109"/>
    </row>
    <row r="10" spans="1:11" x14ac:dyDescent="0.25">
      <c r="A10" s="217"/>
      <c r="B10" s="211"/>
      <c r="C10" s="217"/>
      <c r="D10" s="211"/>
      <c r="E10" s="217"/>
      <c r="F10" s="211"/>
      <c r="G10" s="217"/>
      <c r="H10" s="211"/>
      <c r="I10" s="217"/>
      <c r="J10" s="211"/>
      <c r="K10" s="109"/>
    </row>
    <row r="11" spans="1:11" x14ac:dyDescent="0.25">
      <c r="A11" s="217"/>
      <c r="B11" s="211"/>
      <c r="C11" s="218"/>
      <c r="D11" s="211"/>
      <c r="E11" s="218"/>
      <c r="F11" s="211"/>
      <c r="G11" s="218"/>
      <c r="H11" s="211"/>
      <c r="I11" s="219"/>
      <c r="J11" s="211"/>
      <c r="K11" s="109"/>
    </row>
    <row r="12" spans="1:11" x14ac:dyDescent="0.25">
      <c r="A12" s="217"/>
      <c r="B12" s="211"/>
      <c r="C12" s="217"/>
      <c r="D12" s="211"/>
      <c r="E12" s="220"/>
      <c r="F12" s="211"/>
      <c r="G12" s="220"/>
      <c r="H12" s="211"/>
      <c r="I12" s="220"/>
      <c r="J12" s="211"/>
      <c r="K12" s="109"/>
    </row>
    <row r="13" spans="1:11" x14ac:dyDescent="0.25">
      <c r="A13" s="221"/>
      <c r="B13" s="211"/>
      <c r="C13" s="222"/>
      <c r="D13" s="211"/>
      <c r="E13" s="222"/>
      <c r="F13" s="211"/>
      <c r="G13" s="222"/>
      <c r="H13" s="211"/>
      <c r="I13" s="219"/>
      <c r="J13" s="211"/>
      <c r="K13" s="109"/>
    </row>
    <row r="14" spans="1:11" x14ac:dyDescent="0.25">
      <c r="A14" s="217"/>
      <c r="B14" s="211"/>
      <c r="C14" s="220"/>
      <c r="D14" s="211"/>
      <c r="E14" s="220"/>
      <c r="F14" s="211"/>
      <c r="G14" s="220"/>
      <c r="H14" s="211"/>
      <c r="I14" s="220"/>
      <c r="J14" s="211"/>
      <c r="K14" s="109"/>
    </row>
    <row r="15" spans="1:11" x14ac:dyDescent="0.25">
      <c r="A15" s="217"/>
      <c r="B15" s="211"/>
      <c r="C15" s="220"/>
      <c r="D15" s="211"/>
      <c r="E15" s="220"/>
      <c r="F15" s="211"/>
      <c r="G15" s="220"/>
      <c r="H15" s="211"/>
      <c r="I15" s="220"/>
      <c r="J15" s="211"/>
      <c r="K15" s="109"/>
    </row>
    <row r="16" spans="1:11" x14ac:dyDescent="0.25">
      <c r="A16" s="217" t="s">
        <v>63</v>
      </c>
      <c r="B16" s="211">
        <v>22688</v>
      </c>
      <c r="C16" s="217"/>
      <c r="D16" s="211"/>
      <c r="E16" s="217"/>
      <c r="F16" s="211"/>
      <c r="G16" s="220"/>
      <c r="H16" s="211"/>
      <c r="I16" s="217"/>
      <c r="J16" s="211"/>
      <c r="K16" s="109"/>
    </row>
    <row r="17" spans="1:12" x14ac:dyDescent="0.25">
      <c r="A17" s="214" t="s">
        <v>64</v>
      </c>
      <c r="B17" s="213">
        <f>SUM(B9:B16)</f>
        <v>39982</v>
      </c>
      <c r="C17" s="214" t="s">
        <v>64</v>
      </c>
      <c r="D17" s="213">
        <f>SUM(D9:D16)</f>
        <v>0</v>
      </c>
      <c r="E17" s="214" t="s">
        <v>64</v>
      </c>
      <c r="F17" s="252">
        <f>SUM(F9:F16)</f>
        <v>0</v>
      </c>
      <c r="G17" s="214" t="s">
        <v>64</v>
      </c>
      <c r="H17" s="213">
        <f>SUM(H9:H16)</f>
        <v>0</v>
      </c>
      <c r="I17" s="214" t="s">
        <v>64</v>
      </c>
      <c r="J17" s="213">
        <f>SUM(J9:J16)</f>
        <v>0</v>
      </c>
      <c r="K17" s="213">
        <f>SUM(B17+D17+F17+H17+J17)</f>
        <v>39982</v>
      </c>
    </row>
    <row r="18" spans="1:12" x14ac:dyDescent="0.25">
      <c r="A18" s="214" t="s">
        <v>65</v>
      </c>
      <c r="B18" s="213">
        <f>SUM(B7+B17)</f>
        <v>440640</v>
      </c>
      <c r="C18" s="214" t="s">
        <v>65</v>
      </c>
      <c r="D18" s="213">
        <f>SUM(D7+D17)</f>
        <v>0</v>
      </c>
      <c r="E18" s="214" t="s">
        <v>65</v>
      </c>
      <c r="F18" s="213">
        <f>SUM(F7+F17)</f>
        <v>0</v>
      </c>
      <c r="G18" s="214" t="s">
        <v>65</v>
      </c>
      <c r="H18" s="213">
        <f>SUM(H7+H17)</f>
        <v>0</v>
      </c>
      <c r="I18" s="214" t="s">
        <v>65</v>
      </c>
      <c r="J18" s="213">
        <f>SUM(J7+J17)</f>
        <v>0</v>
      </c>
      <c r="K18" s="213">
        <f>SUM(B18+D18+F18+H18+J18)</f>
        <v>440640</v>
      </c>
    </row>
    <row r="19" spans="1:12" x14ac:dyDescent="0.25">
      <c r="A19" s="214" t="s">
        <v>67</v>
      </c>
      <c r="B19" s="215"/>
      <c r="C19" s="214" t="s">
        <v>67</v>
      </c>
      <c r="D19" s="216"/>
      <c r="E19" s="214" t="s">
        <v>67</v>
      </c>
      <c r="F19" s="109"/>
      <c r="G19" s="214" t="s">
        <v>67</v>
      </c>
      <c r="H19" s="28"/>
      <c r="I19" s="214" t="s">
        <v>67</v>
      </c>
      <c r="J19" s="28"/>
      <c r="K19" s="109"/>
    </row>
    <row r="20" spans="1:12" x14ac:dyDescent="0.25">
      <c r="A20" s="217"/>
      <c r="B20" s="211">
        <v>0</v>
      </c>
      <c r="C20" s="220"/>
      <c r="D20" s="211"/>
      <c r="E20" s="220"/>
      <c r="F20" s="211"/>
      <c r="G20" s="220"/>
      <c r="H20" s="211"/>
      <c r="I20" s="220"/>
      <c r="J20" s="211"/>
      <c r="K20" s="109"/>
    </row>
    <row r="21" spans="1:12" x14ac:dyDescent="0.25">
      <c r="A21" s="217"/>
      <c r="B21" s="211"/>
      <c r="C21" s="220"/>
      <c r="D21" s="211"/>
      <c r="E21" s="220"/>
      <c r="F21" s="211"/>
      <c r="G21" s="220"/>
      <c r="H21" s="211"/>
      <c r="I21" s="220"/>
      <c r="J21" s="211"/>
      <c r="K21" s="109"/>
    </row>
    <row r="22" spans="1:12" x14ac:dyDescent="0.25">
      <c r="A22" s="217"/>
      <c r="B22" s="211"/>
      <c r="C22" s="222"/>
      <c r="D22" s="211"/>
      <c r="E22" s="222"/>
      <c r="F22" s="211"/>
      <c r="G22" s="222"/>
      <c r="H22" s="211"/>
      <c r="I22" s="219"/>
      <c r="J22" s="211"/>
      <c r="K22" s="109"/>
    </row>
    <row r="23" spans="1:12" x14ac:dyDescent="0.25">
      <c r="A23" s="217"/>
      <c r="B23" s="211"/>
      <c r="C23" s="220"/>
      <c r="D23" s="211"/>
      <c r="E23" s="220"/>
      <c r="F23" s="211"/>
      <c r="G23" s="220"/>
      <c r="H23" s="211"/>
      <c r="I23" s="220"/>
      <c r="J23" s="211"/>
      <c r="K23" s="109"/>
    </row>
    <row r="24" spans="1:12" x14ac:dyDescent="0.25">
      <c r="A24" s="217"/>
      <c r="B24" s="211"/>
      <c r="C24" s="222"/>
      <c r="D24" s="211"/>
      <c r="E24" s="222"/>
      <c r="F24" s="211"/>
      <c r="G24" s="222"/>
      <c r="H24" s="211"/>
      <c r="I24" s="219"/>
      <c r="J24" s="211"/>
      <c r="K24" s="109"/>
    </row>
    <row r="25" spans="1:12" x14ac:dyDescent="0.25">
      <c r="A25" s="217"/>
      <c r="B25" s="211"/>
      <c r="C25" s="220"/>
      <c r="D25" s="211"/>
      <c r="E25" s="220"/>
      <c r="F25" s="211"/>
      <c r="G25" s="220"/>
      <c r="H25" s="211"/>
      <c r="I25" s="220"/>
      <c r="J25" s="211"/>
      <c r="K25" s="109"/>
    </row>
    <row r="26" spans="1:12" x14ac:dyDescent="0.25">
      <c r="A26" s="217"/>
      <c r="B26" s="211"/>
      <c r="C26" s="220"/>
      <c r="D26" s="211"/>
      <c r="E26" s="220"/>
      <c r="F26" s="211"/>
      <c r="G26" s="220"/>
      <c r="H26" s="211"/>
      <c r="I26" s="220"/>
      <c r="J26" s="211"/>
      <c r="K26" s="109"/>
    </row>
    <row r="27" spans="1:12" x14ac:dyDescent="0.25">
      <c r="A27" s="217"/>
      <c r="B27" s="211"/>
      <c r="C27" s="217"/>
      <c r="D27" s="211"/>
      <c r="E27" s="217"/>
      <c r="F27" s="211"/>
      <c r="G27" s="220"/>
      <c r="H27" s="211"/>
      <c r="I27" s="220"/>
      <c r="J27" s="211"/>
      <c r="K27" s="109"/>
    </row>
    <row r="28" spans="1:12" x14ac:dyDescent="0.25">
      <c r="A28" s="214" t="s">
        <v>71</v>
      </c>
      <c r="B28" s="213">
        <f>SUM(B20:B27)</f>
        <v>0</v>
      </c>
      <c r="C28" s="214" t="s">
        <v>71</v>
      </c>
      <c r="D28" s="213">
        <f>SUM(D20:D27)</f>
        <v>0</v>
      </c>
      <c r="E28" s="214" t="s">
        <v>71</v>
      </c>
      <c r="F28" s="252">
        <f>SUM(F20:F27)</f>
        <v>0</v>
      </c>
      <c r="G28" s="214" t="s">
        <v>71</v>
      </c>
      <c r="H28" s="252">
        <f>SUM(H20:H27)</f>
        <v>0</v>
      </c>
      <c r="I28" s="214" t="s">
        <v>71</v>
      </c>
      <c r="J28" s="213">
        <f>SUM(J20:J27)</f>
        <v>0</v>
      </c>
      <c r="K28" s="213">
        <f>SUM(B28+D28+F28+H28+J28)</f>
        <v>0</v>
      </c>
    </row>
    <row r="29" spans="1:12" x14ac:dyDescent="0.25">
      <c r="A29" s="214" t="s">
        <v>152</v>
      </c>
      <c r="B29" s="213">
        <f>SUM(B18-B28)</f>
        <v>440640</v>
      </c>
      <c r="C29" s="214" t="s">
        <v>152</v>
      </c>
      <c r="D29" s="213">
        <f>SUM(D18-D28)</f>
        <v>0</v>
      </c>
      <c r="E29" s="214" t="s">
        <v>152</v>
      </c>
      <c r="F29" s="213">
        <f>SUM(F18-F28)</f>
        <v>0</v>
      </c>
      <c r="G29" s="214" t="s">
        <v>152</v>
      </c>
      <c r="H29" s="213">
        <f>SUM(H18-H28)</f>
        <v>0</v>
      </c>
      <c r="I29" s="214" t="s">
        <v>152</v>
      </c>
      <c r="J29" s="213">
        <f>SUM(J18-J28)</f>
        <v>0</v>
      </c>
      <c r="K29" s="223">
        <f>SUM(B29+D29+F29+H29+J29)</f>
        <v>440640</v>
      </c>
      <c r="L29" s="24" t="s">
        <v>211</v>
      </c>
    </row>
    <row r="30" spans="1:12" x14ac:dyDescent="0.25">
      <c r="A30" s="214"/>
      <c r="B30" s="243" t="str">
        <f>IF(B29&lt;0,"See Tab B","")</f>
        <v/>
      </c>
      <c r="C30" s="214"/>
      <c r="D30" s="243" t="str">
        <f>IF(D29&lt;0,"See Tab B","")</f>
        <v/>
      </c>
      <c r="E30" s="214"/>
      <c r="F30" s="243" t="str">
        <f>IF(F29&lt;0,"See Tab B","")</f>
        <v/>
      </c>
      <c r="G30" s="28"/>
      <c r="H30" s="243" t="str">
        <f>IF(H29&lt;0,"See Tab B","")</f>
        <v/>
      </c>
      <c r="I30" s="28"/>
      <c r="J30" s="243" t="str">
        <f>IF(J29&lt;0,"See Tab B","")</f>
        <v/>
      </c>
      <c r="K30" s="223">
        <f>SUM(K7+K17-K28)</f>
        <v>440640</v>
      </c>
      <c r="L30" s="24" t="s">
        <v>211</v>
      </c>
    </row>
    <row r="31" spans="1:12" x14ac:dyDescent="0.25">
      <c r="A31" s="28"/>
      <c r="B31" s="56"/>
      <c r="C31" s="28"/>
      <c r="D31" s="109"/>
      <c r="E31" s="28"/>
      <c r="F31" s="28"/>
      <c r="G31" s="28"/>
      <c r="H31" s="778" t="s">
        <v>213</v>
      </c>
      <c r="I31" s="778"/>
      <c r="J31" s="778"/>
      <c r="K31" s="778"/>
    </row>
    <row r="32" spans="1:12" x14ac:dyDescent="0.25">
      <c r="A32" s="28"/>
      <c r="B32" s="56"/>
      <c r="C32" s="28"/>
      <c r="D32" s="28"/>
      <c r="E32" s="28"/>
      <c r="F32" s="28"/>
      <c r="G32" s="28"/>
      <c r="H32" s="28"/>
      <c r="I32" s="28"/>
      <c r="J32" s="28"/>
      <c r="K32" s="28"/>
    </row>
    <row r="33" spans="1:11" x14ac:dyDescent="0.25">
      <c r="A33" s="540" t="s">
        <v>537</v>
      </c>
      <c r="B33" s="112"/>
      <c r="C33" s="69"/>
      <c r="D33" s="69"/>
      <c r="E33" s="69"/>
      <c r="F33" s="69"/>
      <c r="G33" s="69"/>
      <c r="H33" s="69"/>
      <c r="I33" s="69"/>
      <c r="J33" s="69"/>
      <c r="K33" s="512"/>
    </row>
    <row r="34" spans="1:11" x14ac:dyDescent="0.25">
      <c r="A34" s="537"/>
      <c r="B34" s="56"/>
      <c r="C34" s="28"/>
      <c r="D34" s="28"/>
      <c r="E34" s="28"/>
      <c r="F34" s="28"/>
      <c r="G34" s="28"/>
      <c r="H34" s="28"/>
      <c r="I34" s="28"/>
      <c r="J34" s="28"/>
      <c r="K34" s="538"/>
    </row>
    <row r="35" spans="1:11" x14ac:dyDescent="0.25">
      <c r="A35" s="515"/>
      <c r="B35" s="111"/>
      <c r="C35" s="43"/>
      <c r="D35" s="43"/>
      <c r="E35" s="43"/>
      <c r="F35" s="43"/>
      <c r="G35" s="43"/>
      <c r="H35" s="43"/>
      <c r="I35" s="43"/>
      <c r="J35" s="43"/>
      <c r="K35" s="49"/>
    </row>
    <row r="36" spans="1:11" x14ac:dyDescent="0.25">
      <c r="A36" s="28"/>
      <c r="B36" s="56"/>
      <c r="C36" s="28"/>
      <c r="D36" s="28"/>
      <c r="E36" s="28"/>
      <c r="F36" s="28"/>
      <c r="G36" s="28"/>
      <c r="H36" s="28"/>
      <c r="I36" s="28"/>
      <c r="J36" s="28"/>
      <c r="K36" s="28"/>
    </row>
    <row r="37" spans="1:11" x14ac:dyDescent="0.25">
      <c r="A37" s="28"/>
      <c r="B37" s="56"/>
      <c r="C37" s="28"/>
      <c r="D37" s="28"/>
      <c r="E37" s="80" t="s">
        <v>74</v>
      </c>
      <c r="F37" s="465">
        <v>18</v>
      </c>
      <c r="G37" s="28"/>
      <c r="H37" s="28"/>
      <c r="I37" s="28"/>
      <c r="J37" s="28"/>
      <c r="K37" s="28"/>
    </row>
    <row r="38" spans="1:11" x14ac:dyDescent="0.25">
      <c r="B38" s="224"/>
    </row>
    <row r="39" spans="1:11" x14ac:dyDescent="0.25">
      <c r="B39" s="224"/>
    </row>
    <row r="40" spans="1:11" x14ac:dyDescent="0.25">
      <c r="B40" s="224"/>
    </row>
    <row r="41" spans="1:11" x14ac:dyDescent="0.25">
      <c r="B41" s="224"/>
    </row>
    <row r="42" spans="1:11" x14ac:dyDescent="0.25">
      <c r="B42" s="224"/>
    </row>
    <row r="43" spans="1:11" x14ac:dyDescent="0.25">
      <c r="B43" s="224"/>
    </row>
    <row r="44" spans="1:11" x14ac:dyDescent="0.25">
      <c r="B44" s="224"/>
    </row>
    <row r="45" spans="1:11" x14ac:dyDescent="0.25">
      <c r="B45" s="224"/>
    </row>
  </sheetData>
  <sheetProtection sheet="1" objects="1" scenarios="1"/>
  <mergeCells count="6">
    <mergeCell ref="H31:K31"/>
    <mergeCell ref="I5:J5"/>
    <mergeCell ref="A5:B5"/>
    <mergeCell ref="C5:D5"/>
    <mergeCell ref="E5:F5"/>
    <mergeCell ref="G5:H5"/>
  </mergeCells>
  <phoneticPr fontId="8" type="noConversion"/>
  <pageMargins left="0.75" right="0.75" top="1" bottom="1" header="0.5" footer="0.5"/>
  <pageSetup scale="81" orientation="landscape"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pageSetUpPr fitToPage="1"/>
  </sheetPr>
  <dimension ref="A1:L45"/>
  <sheetViews>
    <sheetView workbookViewId="0">
      <selection activeCell="L1" sqref="L1"/>
    </sheetView>
  </sheetViews>
  <sheetFormatPr defaultColWidth="8.9140625" defaultRowHeight="15.5" x14ac:dyDescent="0.25"/>
  <cols>
    <col min="1" max="1" width="11.58203125" style="24" customWidth="1"/>
    <col min="2" max="2" width="7.4140625" style="24" customWidth="1"/>
    <col min="3" max="3" width="11.58203125" style="24" customWidth="1"/>
    <col min="4" max="4" width="7.4140625" style="24" customWidth="1"/>
    <col min="5" max="5" width="11.58203125" style="24" customWidth="1"/>
    <col min="6" max="6" width="7.4140625" style="24" customWidth="1"/>
    <col min="7" max="7" width="11.58203125" style="24" customWidth="1"/>
    <col min="8" max="8" width="7.4140625" style="24" customWidth="1"/>
    <col min="9" max="9" width="11.58203125" style="24" customWidth="1"/>
    <col min="10" max="16384" width="8.9140625" style="24"/>
  </cols>
  <sheetData>
    <row r="1" spans="1:11" x14ac:dyDescent="0.25">
      <c r="A1" s="47" t="str">
        <f>inputPrYr!$D$3</f>
        <v>The City of Colby</v>
      </c>
      <c r="B1" s="109"/>
      <c r="C1" s="28"/>
      <c r="D1" s="28"/>
      <c r="E1" s="28"/>
      <c r="F1" s="110" t="s">
        <v>154</v>
      </c>
      <c r="G1" s="28"/>
      <c r="H1" s="28"/>
      <c r="I1" s="28"/>
      <c r="J1" s="28"/>
      <c r="K1" s="28">
        <f>inputPrYr!$C$6</f>
        <v>2026</v>
      </c>
    </row>
    <row r="2" spans="1:11" x14ac:dyDescent="0.25">
      <c r="A2" s="28"/>
      <c r="B2" s="28"/>
      <c r="C2" s="28"/>
      <c r="D2" s="28"/>
      <c r="E2" s="28"/>
      <c r="F2" s="205" t="str">
        <f>CONCATENATE("(Only the actual budget year for ",K1-2," is reported)")</f>
        <v>(Only the actual budget year for 2024 is reported)</v>
      </c>
      <c r="G2" s="28"/>
      <c r="H2" s="28"/>
      <c r="I2" s="28"/>
      <c r="J2" s="28"/>
      <c r="K2" s="28"/>
    </row>
    <row r="3" spans="1:11" x14ac:dyDescent="0.25">
      <c r="A3" s="28" t="s">
        <v>185</v>
      </c>
      <c r="B3" s="28"/>
      <c r="C3" s="28"/>
      <c r="D3" s="28"/>
      <c r="E3" s="28"/>
      <c r="F3" s="109"/>
      <c r="G3" s="28"/>
      <c r="H3" s="28"/>
      <c r="I3" s="28"/>
      <c r="J3" s="28"/>
      <c r="K3" s="28"/>
    </row>
    <row r="4" spans="1:11" x14ac:dyDescent="0.25">
      <c r="A4" s="28" t="s">
        <v>146</v>
      </c>
      <c r="B4" s="28"/>
      <c r="C4" s="28" t="s">
        <v>147</v>
      </c>
      <c r="D4" s="28"/>
      <c r="E4" s="28" t="s">
        <v>148</v>
      </c>
      <c r="F4" s="109"/>
      <c r="G4" s="28" t="s">
        <v>149</v>
      </c>
      <c r="H4" s="28"/>
      <c r="I4" s="28" t="s">
        <v>150</v>
      </c>
      <c r="J4" s="28"/>
      <c r="K4" s="28"/>
    </row>
    <row r="5" spans="1:11" x14ac:dyDescent="0.25">
      <c r="A5" s="779" t="str">
        <f>IF(inputPrYr!B70&gt;" ",(inputPrYr!B70)," ")</f>
        <v xml:space="preserve"> </v>
      </c>
      <c r="B5" s="780"/>
      <c r="C5" s="779" t="str">
        <f>IF(inputPrYr!B71&gt;" ",(inputPrYr!B71)," ")</f>
        <v xml:space="preserve"> </v>
      </c>
      <c r="D5" s="780"/>
      <c r="E5" s="779" t="str">
        <f>IF(inputPrYr!B72&gt;" ",(inputPrYr!B72)," ")</f>
        <v xml:space="preserve"> </v>
      </c>
      <c r="F5" s="780"/>
      <c r="G5" s="779" t="str">
        <f>IF(inputPrYr!B73&gt;" ",(inputPrYr!B73)," ")</f>
        <v xml:space="preserve"> </v>
      </c>
      <c r="H5" s="780"/>
      <c r="I5" s="779" t="str">
        <f>IF(inputPrYr!B74&gt;" ",(inputPrYr!B74)," ")</f>
        <v xml:space="preserve"> </v>
      </c>
      <c r="J5" s="780"/>
      <c r="K5" s="43"/>
    </row>
    <row r="6" spans="1:11" x14ac:dyDescent="0.25">
      <c r="A6" s="206" t="s">
        <v>151</v>
      </c>
      <c r="B6" s="207"/>
      <c r="C6" s="208" t="s">
        <v>151</v>
      </c>
      <c r="D6" s="209"/>
      <c r="E6" s="208" t="s">
        <v>151</v>
      </c>
      <c r="F6" s="103"/>
      <c r="G6" s="208" t="s">
        <v>151</v>
      </c>
      <c r="H6" s="54"/>
      <c r="I6" s="208" t="s">
        <v>151</v>
      </c>
      <c r="J6" s="28"/>
      <c r="K6" s="99" t="s">
        <v>35</v>
      </c>
    </row>
    <row r="7" spans="1:11" x14ac:dyDescent="0.25">
      <c r="A7" s="210" t="s">
        <v>10</v>
      </c>
      <c r="B7" s="211"/>
      <c r="C7" s="212" t="s">
        <v>10</v>
      </c>
      <c r="D7" s="211"/>
      <c r="E7" s="212" t="s">
        <v>10</v>
      </c>
      <c r="F7" s="211"/>
      <c r="G7" s="212" t="s">
        <v>10</v>
      </c>
      <c r="H7" s="211"/>
      <c r="I7" s="212" t="s">
        <v>10</v>
      </c>
      <c r="J7" s="211"/>
      <c r="K7" s="213">
        <f>SUM(B7+D7+F7+H7+J7)</f>
        <v>0</v>
      </c>
    </row>
    <row r="8" spans="1:11" x14ac:dyDescent="0.25">
      <c r="A8" s="214" t="s">
        <v>135</v>
      </c>
      <c r="B8" s="215"/>
      <c r="C8" s="214" t="s">
        <v>135</v>
      </c>
      <c r="D8" s="216"/>
      <c r="E8" s="214" t="s">
        <v>135</v>
      </c>
      <c r="F8" s="109"/>
      <c r="G8" s="214" t="s">
        <v>135</v>
      </c>
      <c r="H8" s="28"/>
      <c r="I8" s="214" t="s">
        <v>135</v>
      </c>
      <c r="J8" s="28"/>
      <c r="K8" s="109"/>
    </row>
    <row r="9" spans="1:11" x14ac:dyDescent="0.25">
      <c r="A9" s="217"/>
      <c r="B9" s="211"/>
      <c r="C9" s="217"/>
      <c r="D9" s="211"/>
      <c r="E9" s="217"/>
      <c r="F9" s="211"/>
      <c r="G9" s="217"/>
      <c r="H9" s="211"/>
      <c r="I9" s="217"/>
      <c r="J9" s="211"/>
      <c r="K9" s="109"/>
    </row>
    <row r="10" spans="1:11" x14ac:dyDescent="0.25">
      <c r="A10" s="217"/>
      <c r="B10" s="211"/>
      <c r="C10" s="217"/>
      <c r="D10" s="211"/>
      <c r="E10" s="217"/>
      <c r="F10" s="211"/>
      <c r="G10" s="217"/>
      <c r="H10" s="211"/>
      <c r="I10" s="217"/>
      <c r="J10" s="211"/>
      <c r="K10" s="109"/>
    </row>
    <row r="11" spans="1:11" x14ac:dyDescent="0.25">
      <c r="A11" s="217"/>
      <c r="B11" s="211"/>
      <c r="C11" s="218"/>
      <c r="D11" s="211"/>
      <c r="E11" s="218"/>
      <c r="F11" s="211"/>
      <c r="G11" s="218"/>
      <c r="H11" s="211"/>
      <c r="I11" s="219"/>
      <c r="J11" s="211"/>
      <c r="K11" s="109"/>
    </row>
    <row r="12" spans="1:11" x14ac:dyDescent="0.25">
      <c r="A12" s="217"/>
      <c r="B12" s="211"/>
      <c r="C12" s="217"/>
      <c r="D12" s="211"/>
      <c r="E12" s="220"/>
      <c r="F12" s="211"/>
      <c r="G12" s="220"/>
      <c r="H12" s="211"/>
      <c r="I12" s="220"/>
      <c r="J12" s="211"/>
      <c r="K12" s="109"/>
    </row>
    <row r="13" spans="1:11" x14ac:dyDescent="0.25">
      <c r="A13" s="221"/>
      <c r="B13" s="211"/>
      <c r="C13" s="222"/>
      <c r="D13" s="211"/>
      <c r="E13" s="222"/>
      <c r="F13" s="211"/>
      <c r="G13" s="222"/>
      <c r="H13" s="211"/>
      <c r="I13" s="219"/>
      <c r="J13" s="211"/>
      <c r="K13" s="109"/>
    </row>
    <row r="14" spans="1:11" x14ac:dyDescent="0.25">
      <c r="A14" s="217"/>
      <c r="B14" s="211"/>
      <c r="C14" s="220"/>
      <c r="D14" s="211"/>
      <c r="E14" s="220"/>
      <c r="F14" s="211"/>
      <c r="G14" s="220"/>
      <c r="H14" s="211"/>
      <c r="I14" s="220"/>
      <c r="J14" s="211"/>
      <c r="K14" s="109"/>
    </row>
    <row r="15" spans="1:11" x14ac:dyDescent="0.25">
      <c r="A15" s="217"/>
      <c r="B15" s="211"/>
      <c r="C15" s="220"/>
      <c r="D15" s="211"/>
      <c r="E15" s="220"/>
      <c r="F15" s="211"/>
      <c r="G15" s="220"/>
      <c r="H15" s="211"/>
      <c r="I15" s="220"/>
      <c r="J15" s="211"/>
      <c r="K15" s="109"/>
    </row>
    <row r="16" spans="1:11" x14ac:dyDescent="0.25">
      <c r="A16" s="217"/>
      <c r="B16" s="211"/>
      <c r="C16" s="217"/>
      <c r="D16" s="211"/>
      <c r="E16" s="217"/>
      <c r="F16" s="211"/>
      <c r="G16" s="220"/>
      <c r="H16" s="211"/>
      <c r="I16" s="217"/>
      <c r="J16" s="211"/>
      <c r="K16" s="109"/>
    </row>
    <row r="17" spans="1:12" x14ac:dyDescent="0.25">
      <c r="A17" s="214" t="s">
        <v>64</v>
      </c>
      <c r="B17" s="213">
        <f>SUM(B9:B16)</f>
        <v>0</v>
      </c>
      <c r="C17" s="214" t="s">
        <v>64</v>
      </c>
      <c r="D17" s="213">
        <f>SUM(D9:D16)</f>
        <v>0</v>
      </c>
      <c r="E17" s="214" t="s">
        <v>64</v>
      </c>
      <c r="F17" s="252">
        <f>SUM(F9:F16)</f>
        <v>0</v>
      </c>
      <c r="G17" s="214" t="s">
        <v>64</v>
      </c>
      <c r="H17" s="213">
        <f>SUM(H9:H16)</f>
        <v>0</v>
      </c>
      <c r="I17" s="214" t="s">
        <v>64</v>
      </c>
      <c r="J17" s="213">
        <f>SUM(J9:J16)</f>
        <v>0</v>
      </c>
      <c r="K17" s="213">
        <f>SUM(B17+D17+F17+H17+J17)</f>
        <v>0</v>
      </c>
    </row>
    <row r="18" spans="1:12" x14ac:dyDescent="0.25">
      <c r="A18" s="214" t="s">
        <v>65</v>
      </c>
      <c r="B18" s="213">
        <f>SUM(B7+B17)</f>
        <v>0</v>
      </c>
      <c r="C18" s="214" t="s">
        <v>65</v>
      </c>
      <c r="D18" s="213">
        <f>SUM(D7+D17)</f>
        <v>0</v>
      </c>
      <c r="E18" s="214" t="s">
        <v>65</v>
      </c>
      <c r="F18" s="213">
        <f>SUM(F7+F17)</f>
        <v>0</v>
      </c>
      <c r="G18" s="214" t="s">
        <v>65</v>
      </c>
      <c r="H18" s="213">
        <f>SUM(H7+H17)</f>
        <v>0</v>
      </c>
      <c r="I18" s="214" t="s">
        <v>65</v>
      </c>
      <c r="J18" s="213">
        <f>SUM(J7+J17)</f>
        <v>0</v>
      </c>
      <c r="K18" s="213">
        <f>SUM(B18+D18+F18+H18+J18)</f>
        <v>0</v>
      </c>
    </row>
    <row r="19" spans="1:12" x14ac:dyDescent="0.25">
      <c r="A19" s="214" t="s">
        <v>67</v>
      </c>
      <c r="B19" s="215"/>
      <c r="C19" s="214" t="s">
        <v>67</v>
      </c>
      <c r="D19" s="216"/>
      <c r="E19" s="214" t="s">
        <v>67</v>
      </c>
      <c r="F19" s="109"/>
      <c r="G19" s="214" t="s">
        <v>67</v>
      </c>
      <c r="H19" s="28"/>
      <c r="I19" s="214" t="s">
        <v>67</v>
      </c>
      <c r="J19" s="28"/>
      <c r="K19" s="109"/>
    </row>
    <row r="20" spans="1:12" x14ac:dyDescent="0.25">
      <c r="A20" s="217"/>
      <c r="B20" s="211"/>
      <c r="C20" s="220"/>
      <c r="D20" s="211"/>
      <c r="E20" s="220"/>
      <c r="F20" s="211"/>
      <c r="G20" s="220"/>
      <c r="H20" s="211"/>
      <c r="I20" s="220"/>
      <c r="J20" s="211"/>
      <c r="K20" s="109"/>
    </row>
    <row r="21" spans="1:12" x14ac:dyDescent="0.25">
      <c r="A21" s="217"/>
      <c r="B21" s="211"/>
      <c r="C21" s="220"/>
      <c r="D21" s="211"/>
      <c r="E21" s="220"/>
      <c r="F21" s="211"/>
      <c r="G21" s="220"/>
      <c r="H21" s="211"/>
      <c r="I21" s="220"/>
      <c r="J21" s="211"/>
      <c r="K21" s="109"/>
    </row>
    <row r="22" spans="1:12" x14ac:dyDescent="0.25">
      <c r="A22" s="217"/>
      <c r="B22" s="211"/>
      <c r="C22" s="222"/>
      <c r="D22" s="211"/>
      <c r="E22" s="222"/>
      <c r="F22" s="211"/>
      <c r="G22" s="222"/>
      <c r="H22" s="211"/>
      <c r="I22" s="219"/>
      <c r="J22" s="211"/>
      <c r="K22" s="109"/>
    </row>
    <row r="23" spans="1:12" x14ac:dyDescent="0.25">
      <c r="A23" s="217"/>
      <c r="B23" s="211"/>
      <c r="C23" s="220"/>
      <c r="D23" s="211"/>
      <c r="E23" s="220"/>
      <c r="F23" s="211"/>
      <c r="G23" s="220"/>
      <c r="H23" s="211"/>
      <c r="I23" s="220"/>
      <c r="J23" s="211"/>
      <c r="K23" s="109"/>
    </row>
    <row r="24" spans="1:12" x14ac:dyDescent="0.25">
      <c r="A24" s="217"/>
      <c r="B24" s="211"/>
      <c r="C24" s="222"/>
      <c r="D24" s="211"/>
      <c r="E24" s="222"/>
      <c r="F24" s="211"/>
      <c r="G24" s="222"/>
      <c r="H24" s="211"/>
      <c r="I24" s="219"/>
      <c r="J24" s="211"/>
      <c r="K24" s="109"/>
    </row>
    <row r="25" spans="1:12" x14ac:dyDescent="0.25">
      <c r="A25" s="217"/>
      <c r="B25" s="211"/>
      <c r="C25" s="220"/>
      <c r="D25" s="211"/>
      <c r="E25" s="220"/>
      <c r="F25" s="211"/>
      <c r="G25" s="220"/>
      <c r="H25" s="211"/>
      <c r="I25" s="220"/>
      <c r="J25" s="211"/>
      <c r="K25" s="109"/>
    </row>
    <row r="26" spans="1:12" x14ac:dyDescent="0.25">
      <c r="A26" s="217"/>
      <c r="B26" s="211"/>
      <c r="C26" s="220"/>
      <c r="D26" s="211"/>
      <c r="E26" s="220"/>
      <c r="F26" s="211"/>
      <c r="G26" s="220"/>
      <c r="H26" s="211"/>
      <c r="I26" s="220"/>
      <c r="J26" s="211"/>
      <c r="K26" s="109"/>
    </row>
    <row r="27" spans="1:12" x14ac:dyDescent="0.25">
      <c r="A27" s="217"/>
      <c r="B27" s="211"/>
      <c r="C27" s="217"/>
      <c r="D27" s="211"/>
      <c r="E27" s="217"/>
      <c r="F27" s="211"/>
      <c r="G27" s="220"/>
      <c r="H27" s="211"/>
      <c r="I27" s="220"/>
      <c r="J27" s="211"/>
      <c r="K27" s="109"/>
    </row>
    <row r="28" spans="1:12" x14ac:dyDescent="0.25">
      <c r="A28" s="214" t="s">
        <v>71</v>
      </c>
      <c r="B28" s="213">
        <f>SUM(B20:B27)</f>
        <v>0</v>
      </c>
      <c r="C28" s="214" t="s">
        <v>71</v>
      </c>
      <c r="D28" s="213">
        <f>SUM(D20:D27)</f>
        <v>0</v>
      </c>
      <c r="E28" s="214" t="s">
        <v>71</v>
      </c>
      <c r="F28" s="252">
        <f>SUM(F20:F27)</f>
        <v>0</v>
      </c>
      <c r="G28" s="214" t="s">
        <v>71</v>
      </c>
      <c r="H28" s="252">
        <f>SUM(H20:H27)</f>
        <v>0</v>
      </c>
      <c r="I28" s="214" t="s">
        <v>71</v>
      </c>
      <c r="J28" s="213">
        <f>SUM(J20:J27)</f>
        <v>0</v>
      </c>
      <c r="K28" s="213">
        <f>SUM(B28+D28+F28+H28+J28)</f>
        <v>0</v>
      </c>
    </row>
    <row r="29" spans="1:12" x14ac:dyDescent="0.25">
      <c r="A29" s="214" t="s">
        <v>152</v>
      </c>
      <c r="B29" s="213">
        <f>SUM(B18-B28)</f>
        <v>0</v>
      </c>
      <c r="C29" s="214" t="s">
        <v>152</v>
      </c>
      <c r="D29" s="213">
        <f>SUM(D18-D28)</f>
        <v>0</v>
      </c>
      <c r="E29" s="214" t="s">
        <v>152</v>
      </c>
      <c r="F29" s="213">
        <f>SUM(F18-F28)</f>
        <v>0</v>
      </c>
      <c r="G29" s="214" t="s">
        <v>152</v>
      </c>
      <c r="H29" s="213">
        <f>SUM(H18-H28)</f>
        <v>0</v>
      </c>
      <c r="I29" s="214" t="s">
        <v>152</v>
      </c>
      <c r="J29" s="213">
        <f>SUM(J18-J28)</f>
        <v>0</v>
      </c>
      <c r="K29" s="223">
        <f>SUM(B29+D29+F29+H29+J29)</f>
        <v>0</v>
      </c>
      <c r="L29" s="24" t="s">
        <v>211</v>
      </c>
    </row>
    <row r="30" spans="1:12" x14ac:dyDescent="0.25">
      <c r="A30" s="214"/>
      <c r="B30" s="243" t="str">
        <f>IF(B29&lt;0,"See Tab B","")</f>
        <v/>
      </c>
      <c r="C30" s="214"/>
      <c r="D30" s="243" t="str">
        <f>IF(D29&lt;0,"See Tab B","")</f>
        <v/>
      </c>
      <c r="E30" s="214"/>
      <c r="F30" s="243" t="str">
        <f>IF(F29&lt;0,"See Tab B","")</f>
        <v/>
      </c>
      <c r="G30" s="28"/>
      <c r="H30" s="243" t="str">
        <f>IF(H29&lt;0,"See Tab B","")</f>
        <v/>
      </c>
      <c r="I30" s="28"/>
      <c r="J30" s="243" t="str">
        <f>IF(J29&lt;0,"See Tab B","")</f>
        <v/>
      </c>
      <c r="K30" s="223">
        <f>SUM(K7+K17-K28)</f>
        <v>0</v>
      </c>
      <c r="L30" s="24" t="s">
        <v>211</v>
      </c>
    </row>
    <row r="31" spans="1:12" x14ac:dyDescent="0.25">
      <c r="A31" s="28"/>
      <c r="B31" s="56"/>
      <c r="C31" s="28"/>
      <c r="D31" s="109"/>
      <c r="E31" s="28"/>
      <c r="F31" s="28"/>
      <c r="G31" s="28"/>
      <c r="H31" s="778" t="s">
        <v>213</v>
      </c>
      <c r="I31" s="778"/>
      <c r="J31" s="778"/>
      <c r="K31" s="778"/>
    </row>
    <row r="32" spans="1:12" x14ac:dyDescent="0.25">
      <c r="A32" s="28"/>
      <c r="B32" s="56"/>
      <c r="C32" s="28"/>
      <c r="D32" s="28"/>
      <c r="E32" s="28"/>
      <c r="F32" s="28"/>
      <c r="G32" s="28"/>
      <c r="H32" s="28"/>
      <c r="I32" s="28"/>
      <c r="J32" s="28"/>
      <c r="K32" s="28"/>
    </row>
    <row r="33" spans="1:11" x14ac:dyDescent="0.25">
      <c r="A33" s="540" t="s">
        <v>537</v>
      </c>
      <c r="B33" s="112"/>
      <c r="C33" s="69"/>
      <c r="D33" s="69"/>
      <c r="E33" s="69"/>
      <c r="F33" s="69"/>
      <c r="G33" s="69"/>
      <c r="H33" s="69"/>
      <c r="I33" s="69"/>
      <c r="J33" s="69"/>
      <c r="K33" s="512"/>
    </row>
    <row r="34" spans="1:11" x14ac:dyDescent="0.25">
      <c r="A34" s="537"/>
      <c r="B34" s="56"/>
      <c r="C34" s="28"/>
      <c r="D34" s="28"/>
      <c r="E34" s="28"/>
      <c r="F34" s="28"/>
      <c r="G34" s="28"/>
      <c r="H34" s="28"/>
      <c r="I34" s="28"/>
      <c r="J34" s="28"/>
      <c r="K34" s="538"/>
    </row>
    <row r="35" spans="1:11" x14ac:dyDescent="0.25">
      <c r="A35" s="515"/>
      <c r="B35" s="111"/>
      <c r="C35" s="43"/>
      <c r="D35" s="43"/>
      <c r="E35" s="43"/>
      <c r="F35" s="43"/>
      <c r="G35" s="43"/>
      <c r="H35" s="43"/>
      <c r="I35" s="43"/>
      <c r="J35" s="43"/>
      <c r="K35" s="49"/>
    </row>
    <row r="36" spans="1:11" x14ac:dyDescent="0.25">
      <c r="A36" s="28"/>
      <c r="B36" s="56"/>
      <c r="C36" s="28"/>
      <c r="D36" s="28"/>
      <c r="E36" s="28"/>
      <c r="F36" s="28"/>
      <c r="G36" s="28"/>
      <c r="H36" s="28"/>
      <c r="I36" s="28"/>
      <c r="J36" s="28"/>
      <c r="K36" s="28"/>
    </row>
    <row r="37" spans="1:11" x14ac:dyDescent="0.25">
      <c r="A37" s="28"/>
      <c r="B37" s="56"/>
      <c r="C37" s="28"/>
      <c r="D37" s="28"/>
      <c r="E37" s="80" t="s">
        <v>74</v>
      </c>
      <c r="F37" s="465"/>
      <c r="G37" s="28"/>
      <c r="H37" s="28"/>
      <c r="I37" s="28"/>
      <c r="J37" s="28"/>
      <c r="K37" s="28"/>
    </row>
    <row r="38" spans="1:11" x14ac:dyDescent="0.25">
      <c r="B38" s="224"/>
    </row>
    <row r="39" spans="1:11" x14ac:dyDescent="0.25">
      <c r="B39" s="224"/>
    </row>
    <row r="40" spans="1:11" x14ac:dyDescent="0.25">
      <c r="B40" s="224"/>
    </row>
    <row r="41" spans="1:11" x14ac:dyDescent="0.25">
      <c r="B41" s="224"/>
    </row>
    <row r="42" spans="1:11" x14ac:dyDescent="0.25">
      <c r="B42" s="224"/>
    </row>
    <row r="43" spans="1:11" x14ac:dyDescent="0.25">
      <c r="B43" s="224"/>
    </row>
    <row r="44" spans="1:11" x14ac:dyDescent="0.25">
      <c r="B44" s="224"/>
    </row>
    <row r="45" spans="1:11" x14ac:dyDescent="0.25">
      <c r="B45" s="224"/>
    </row>
  </sheetData>
  <sheetProtection sheet="1" objects="1" scenarios="1"/>
  <mergeCells count="6">
    <mergeCell ref="H31:K31"/>
    <mergeCell ref="I5:J5"/>
    <mergeCell ref="A5:B5"/>
    <mergeCell ref="C5:D5"/>
    <mergeCell ref="E5:F5"/>
    <mergeCell ref="G5:H5"/>
  </mergeCells>
  <phoneticPr fontId="8" type="noConversion"/>
  <pageMargins left="0.75" right="0.75" top="1" bottom="1" header="0.5" footer="0.5"/>
  <pageSetup scale="88" orientation="landscape" blackAndWhite="1" r:id="rId1"/>
  <headerFooter alignWithMargins="0">
    <oddHeader>&amp;RState of Kansas
City</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00B0F0"/>
    <pageSetUpPr fitToPage="1"/>
  </sheetPr>
  <dimension ref="A1:L46"/>
  <sheetViews>
    <sheetView workbookViewId="0">
      <selection activeCell="L1" sqref="L1"/>
    </sheetView>
  </sheetViews>
  <sheetFormatPr defaultColWidth="8.9140625" defaultRowHeight="15.5" x14ac:dyDescent="0.25"/>
  <cols>
    <col min="1" max="1" width="11.58203125" style="24" customWidth="1"/>
    <col min="2" max="2" width="7.4140625" style="24" customWidth="1"/>
    <col min="3" max="3" width="11.58203125" style="24" customWidth="1"/>
    <col min="4" max="4" width="7.4140625" style="24" customWidth="1"/>
    <col min="5" max="5" width="11.58203125" style="24" customWidth="1"/>
    <col min="6" max="6" width="7.4140625" style="24" customWidth="1"/>
    <col min="7" max="7" width="11.58203125" style="24" customWidth="1"/>
    <col min="8" max="8" width="7.4140625" style="24" customWidth="1"/>
    <col min="9" max="9" width="11.58203125" style="24" customWidth="1"/>
    <col min="10" max="16384" width="8.9140625" style="24"/>
  </cols>
  <sheetData>
    <row r="1" spans="1:11" x14ac:dyDescent="0.25">
      <c r="A1" s="47" t="str">
        <f>inputPrYr!$D$3</f>
        <v>The City of Colby</v>
      </c>
      <c r="B1" s="109"/>
      <c r="C1" s="28"/>
      <c r="D1" s="28"/>
      <c r="E1" s="28"/>
      <c r="F1" s="110" t="s">
        <v>155</v>
      </c>
      <c r="G1" s="28"/>
      <c r="H1" s="28"/>
      <c r="I1" s="28"/>
      <c r="J1" s="28"/>
      <c r="K1" s="28">
        <f>inputPrYr!$C$6</f>
        <v>2026</v>
      </c>
    </row>
    <row r="2" spans="1:11" x14ac:dyDescent="0.25">
      <c r="A2" s="28"/>
      <c r="B2" s="28"/>
      <c r="C2" s="28"/>
      <c r="D2" s="28"/>
      <c r="E2" s="28"/>
      <c r="F2" s="205" t="str">
        <f>CONCATENATE("(Only the actual budget year for ",K1-2," is reported)")</f>
        <v>(Only the actual budget year for 2024 is reported)</v>
      </c>
      <c r="G2" s="28"/>
      <c r="H2" s="28"/>
      <c r="I2" s="28"/>
      <c r="J2" s="28"/>
      <c r="K2" s="28"/>
    </row>
    <row r="3" spans="1:11" x14ac:dyDescent="0.25">
      <c r="A3" s="28" t="s">
        <v>186</v>
      </c>
      <c r="B3" s="28"/>
      <c r="C3" s="28"/>
      <c r="D3" s="28"/>
      <c r="E3" s="28"/>
      <c r="F3" s="109"/>
      <c r="G3" s="28"/>
      <c r="H3" s="28"/>
      <c r="I3" s="28"/>
      <c r="J3" s="28"/>
      <c r="K3" s="28"/>
    </row>
    <row r="4" spans="1:11" x14ac:dyDescent="0.25">
      <c r="A4" s="28" t="s">
        <v>146</v>
      </c>
      <c r="B4" s="28"/>
      <c r="C4" s="28" t="s">
        <v>147</v>
      </c>
      <c r="D4" s="28"/>
      <c r="E4" s="28" t="s">
        <v>148</v>
      </c>
      <c r="F4" s="109"/>
      <c r="G4" s="28" t="s">
        <v>149</v>
      </c>
      <c r="H4" s="28"/>
      <c r="I4" s="28" t="s">
        <v>150</v>
      </c>
      <c r="J4" s="28"/>
      <c r="K4" s="28"/>
    </row>
    <row r="5" spans="1:11" x14ac:dyDescent="0.25">
      <c r="A5" s="779" t="str">
        <f>IF(inputPrYr!B76&gt;" ",(inputPrYr!B76)," ")</f>
        <v xml:space="preserve"> </v>
      </c>
      <c r="B5" s="780"/>
      <c r="C5" s="779" t="str">
        <f>IF(inputPrYr!B77&gt;" ",(inputPrYr!B77)," ")</f>
        <v xml:space="preserve"> </v>
      </c>
      <c r="D5" s="780"/>
      <c r="E5" s="779" t="str">
        <f>IF(inputPrYr!B78&gt;" ",(inputPrYr!B78)," ")</f>
        <v xml:space="preserve"> </v>
      </c>
      <c r="F5" s="780"/>
      <c r="G5" s="779" t="str">
        <f>IF(inputPrYr!B79&gt;" ",(inputPrYr!B79)," ")</f>
        <v xml:space="preserve"> </v>
      </c>
      <c r="H5" s="780"/>
      <c r="I5" s="779" t="str">
        <f>IF(inputPrYr!B80&gt;" ",(inputPrYr!B80)," ")</f>
        <v xml:space="preserve"> </v>
      </c>
      <c r="J5" s="780"/>
      <c r="K5" s="43"/>
    </row>
    <row r="6" spans="1:11" x14ac:dyDescent="0.25">
      <c r="A6" s="206" t="s">
        <v>151</v>
      </c>
      <c r="B6" s="207"/>
      <c r="C6" s="208" t="s">
        <v>151</v>
      </c>
      <c r="D6" s="209"/>
      <c r="E6" s="208" t="s">
        <v>151</v>
      </c>
      <c r="F6" s="103"/>
      <c r="G6" s="208" t="s">
        <v>151</v>
      </c>
      <c r="H6" s="54"/>
      <c r="I6" s="208" t="s">
        <v>151</v>
      </c>
      <c r="J6" s="28"/>
      <c r="K6" s="99" t="s">
        <v>35</v>
      </c>
    </row>
    <row r="7" spans="1:11" x14ac:dyDescent="0.25">
      <c r="A7" s="210" t="s">
        <v>10</v>
      </c>
      <c r="B7" s="211"/>
      <c r="C7" s="212" t="s">
        <v>10</v>
      </c>
      <c r="D7" s="211"/>
      <c r="E7" s="212" t="s">
        <v>10</v>
      </c>
      <c r="F7" s="211"/>
      <c r="G7" s="212" t="s">
        <v>10</v>
      </c>
      <c r="H7" s="211"/>
      <c r="I7" s="212" t="s">
        <v>10</v>
      </c>
      <c r="J7" s="211"/>
      <c r="K7" s="213">
        <f>SUM(B7+D7+F7+H7+J7)</f>
        <v>0</v>
      </c>
    </row>
    <row r="8" spans="1:11" x14ac:dyDescent="0.25">
      <c r="A8" s="214" t="s">
        <v>135</v>
      </c>
      <c r="B8" s="215"/>
      <c r="C8" s="214" t="s">
        <v>135</v>
      </c>
      <c r="D8" s="216"/>
      <c r="E8" s="214" t="s">
        <v>135</v>
      </c>
      <c r="F8" s="109"/>
      <c r="G8" s="214" t="s">
        <v>135</v>
      </c>
      <c r="H8" s="28"/>
      <c r="I8" s="214" t="s">
        <v>135</v>
      </c>
      <c r="J8" s="28"/>
      <c r="K8" s="109"/>
    </row>
    <row r="9" spans="1:11" x14ac:dyDescent="0.25">
      <c r="A9" s="217"/>
      <c r="B9" s="211"/>
      <c r="C9" s="217"/>
      <c r="D9" s="211"/>
      <c r="E9" s="217"/>
      <c r="F9" s="211"/>
      <c r="G9" s="217"/>
      <c r="H9" s="211"/>
      <c r="I9" s="217"/>
      <c r="J9" s="211"/>
      <c r="K9" s="109"/>
    </row>
    <row r="10" spans="1:11" x14ac:dyDescent="0.25">
      <c r="A10" s="217"/>
      <c r="B10" s="211"/>
      <c r="C10" s="217"/>
      <c r="D10" s="211"/>
      <c r="E10" s="217"/>
      <c r="F10" s="211"/>
      <c r="G10" s="217"/>
      <c r="H10" s="211"/>
      <c r="I10" s="217"/>
      <c r="J10" s="211"/>
      <c r="K10" s="109"/>
    </row>
    <row r="11" spans="1:11" x14ac:dyDescent="0.25">
      <c r="A11" s="217"/>
      <c r="B11" s="211"/>
      <c r="C11" s="218"/>
      <c r="D11" s="211"/>
      <c r="E11" s="218"/>
      <c r="F11" s="211"/>
      <c r="G11" s="218"/>
      <c r="H11" s="211"/>
      <c r="I11" s="219"/>
      <c r="J11" s="211"/>
      <c r="K11" s="109"/>
    </row>
    <row r="12" spans="1:11" x14ac:dyDescent="0.25">
      <c r="A12" s="217"/>
      <c r="B12" s="211"/>
      <c r="C12" s="217"/>
      <c r="D12" s="211"/>
      <c r="E12" s="220"/>
      <c r="F12" s="211"/>
      <c r="G12" s="220"/>
      <c r="H12" s="211"/>
      <c r="I12" s="220"/>
      <c r="J12" s="211"/>
      <c r="K12" s="109"/>
    </row>
    <row r="13" spans="1:11" x14ac:dyDescent="0.25">
      <c r="A13" s="221"/>
      <c r="B13" s="211"/>
      <c r="C13" s="222"/>
      <c r="D13" s="211"/>
      <c r="E13" s="222"/>
      <c r="F13" s="211"/>
      <c r="G13" s="222"/>
      <c r="H13" s="211"/>
      <c r="I13" s="219"/>
      <c r="J13" s="211"/>
      <c r="K13" s="109"/>
    </row>
    <row r="14" spans="1:11" x14ac:dyDescent="0.25">
      <c r="A14" s="217"/>
      <c r="B14" s="211"/>
      <c r="C14" s="220"/>
      <c r="D14" s="211"/>
      <c r="E14" s="220"/>
      <c r="F14" s="211"/>
      <c r="G14" s="220"/>
      <c r="H14" s="211"/>
      <c r="I14" s="220"/>
      <c r="J14" s="211"/>
      <c r="K14" s="109"/>
    </row>
    <row r="15" spans="1:11" x14ac:dyDescent="0.25">
      <c r="A15" s="217"/>
      <c r="B15" s="211"/>
      <c r="C15" s="220"/>
      <c r="D15" s="211"/>
      <c r="E15" s="220"/>
      <c r="F15" s="211"/>
      <c r="G15" s="220"/>
      <c r="H15" s="211"/>
      <c r="I15" s="220"/>
      <c r="J15" s="211"/>
      <c r="K15" s="109"/>
    </row>
    <row r="16" spans="1:11" x14ac:dyDescent="0.25">
      <c r="A16" s="217"/>
      <c r="B16" s="211"/>
      <c r="C16" s="217"/>
      <c r="D16" s="211"/>
      <c r="E16" s="217"/>
      <c r="F16" s="211"/>
      <c r="G16" s="220"/>
      <c r="H16" s="211"/>
      <c r="I16" s="217"/>
      <c r="J16" s="211"/>
      <c r="K16" s="109"/>
    </row>
    <row r="17" spans="1:12" x14ac:dyDescent="0.25">
      <c r="A17" s="214" t="s">
        <v>64</v>
      </c>
      <c r="B17" s="213">
        <f>SUM(B9:B16)</f>
        <v>0</v>
      </c>
      <c r="C17" s="214" t="s">
        <v>64</v>
      </c>
      <c r="D17" s="213">
        <f>SUM(D9:D16)</f>
        <v>0</v>
      </c>
      <c r="E17" s="214" t="s">
        <v>64</v>
      </c>
      <c r="F17" s="252">
        <f>SUM(F9:F16)</f>
        <v>0</v>
      </c>
      <c r="G17" s="214" t="s">
        <v>64</v>
      </c>
      <c r="H17" s="213">
        <f>SUM(H9:H16)</f>
        <v>0</v>
      </c>
      <c r="I17" s="214" t="s">
        <v>64</v>
      </c>
      <c r="J17" s="213">
        <f>SUM(J9:J16)</f>
        <v>0</v>
      </c>
      <c r="K17" s="213">
        <f>SUM(B17+D17+F17+H17+J17)</f>
        <v>0</v>
      </c>
    </row>
    <row r="18" spans="1:12" x14ac:dyDescent="0.25">
      <c r="A18" s="214" t="s">
        <v>65</v>
      </c>
      <c r="B18" s="213">
        <f>SUM(B7+B17)</f>
        <v>0</v>
      </c>
      <c r="C18" s="214" t="s">
        <v>65</v>
      </c>
      <c r="D18" s="213">
        <f>SUM(D7+D17)</f>
        <v>0</v>
      </c>
      <c r="E18" s="214" t="s">
        <v>65</v>
      </c>
      <c r="F18" s="213">
        <f>SUM(F7+F17)</f>
        <v>0</v>
      </c>
      <c r="G18" s="214" t="s">
        <v>65</v>
      </c>
      <c r="H18" s="213">
        <f>SUM(H7+H17)</f>
        <v>0</v>
      </c>
      <c r="I18" s="214" t="s">
        <v>65</v>
      </c>
      <c r="J18" s="213">
        <f>SUM(J7+J17)</f>
        <v>0</v>
      </c>
      <c r="K18" s="213">
        <f>SUM(B18+D18+F18+H18+J18)</f>
        <v>0</v>
      </c>
    </row>
    <row r="19" spans="1:12" x14ac:dyDescent="0.25">
      <c r="A19" s="214" t="s">
        <v>67</v>
      </c>
      <c r="B19" s="215"/>
      <c r="C19" s="214" t="s">
        <v>67</v>
      </c>
      <c r="D19" s="216"/>
      <c r="E19" s="214" t="s">
        <v>67</v>
      </c>
      <c r="F19" s="109"/>
      <c r="G19" s="214" t="s">
        <v>67</v>
      </c>
      <c r="H19" s="28"/>
      <c r="I19" s="214" t="s">
        <v>67</v>
      </c>
      <c r="J19" s="28"/>
      <c r="K19" s="109"/>
    </row>
    <row r="20" spans="1:12" x14ac:dyDescent="0.25">
      <c r="A20" s="217"/>
      <c r="B20" s="211"/>
      <c r="C20" s="220"/>
      <c r="D20" s="211"/>
      <c r="E20" s="220"/>
      <c r="F20" s="211"/>
      <c r="G20" s="220"/>
      <c r="H20" s="211"/>
      <c r="I20" s="220"/>
      <c r="J20" s="211"/>
      <c r="K20" s="109"/>
    </row>
    <row r="21" spans="1:12" x14ac:dyDescent="0.25">
      <c r="A21" s="217"/>
      <c r="B21" s="211"/>
      <c r="C21" s="220"/>
      <c r="D21" s="211"/>
      <c r="E21" s="220"/>
      <c r="F21" s="211"/>
      <c r="G21" s="220"/>
      <c r="H21" s="211"/>
      <c r="I21" s="220"/>
      <c r="J21" s="211"/>
      <c r="K21" s="109"/>
    </row>
    <row r="22" spans="1:12" x14ac:dyDescent="0.25">
      <c r="A22" s="217"/>
      <c r="B22" s="211"/>
      <c r="C22" s="222"/>
      <c r="D22" s="211"/>
      <c r="E22" s="222"/>
      <c r="F22" s="211"/>
      <c r="G22" s="222"/>
      <c r="H22" s="211"/>
      <c r="I22" s="219"/>
      <c r="J22" s="211"/>
      <c r="K22" s="109"/>
    </row>
    <row r="23" spans="1:12" x14ac:dyDescent="0.25">
      <c r="A23" s="217"/>
      <c r="B23" s="211"/>
      <c r="C23" s="220"/>
      <c r="D23" s="211"/>
      <c r="E23" s="220"/>
      <c r="F23" s="211"/>
      <c r="G23" s="220"/>
      <c r="H23" s="211"/>
      <c r="I23" s="220"/>
      <c r="J23" s="211"/>
      <c r="K23" s="109"/>
    </row>
    <row r="24" spans="1:12" x14ac:dyDescent="0.25">
      <c r="A24" s="217"/>
      <c r="B24" s="211"/>
      <c r="C24" s="222"/>
      <c r="D24" s="211"/>
      <c r="E24" s="222"/>
      <c r="F24" s="211"/>
      <c r="G24" s="222"/>
      <c r="H24" s="211"/>
      <c r="I24" s="219"/>
      <c r="J24" s="211"/>
      <c r="K24" s="109"/>
    </row>
    <row r="25" spans="1:12" x14ac:dyDescent="0.25">
      <c r="A25" s="217"/>
      <c r="B25" s="211"/>
      <c r="C25" s="220"/>
      <c r="D25" s="211"/>
      <c r="E25" s="220"/>
      <c r="F25" s="211"/>
      <c r="G25" s="220"/>
      <c r="H25" s="211"/>
      <c r="I25" s="220"/>
      <c r="J25" s="211"/>
      <c r="K25" s="109"/>
    </row>
    <row r="26" spans="1:12" x14ac:dyDescent="0.25">
      <c r="A26" s="217"/>
      <c r="B26" s="211"/>
      <c r="C26" s="220"/>
      <c r="D26" s="211"/>
      <c r="E26" s="220"/>
      <c r="F26" s="211"/>
      <c r="G26" s="220"/>
      <c r="H26" s="211"/>
      <c r="I26" s="220"/>
      <c r="J26" s="211"/>
      <c r="K26" s="109"/>
    </row>
    <row r="27" spans="1:12" x14ac:dyDescent="0.25">
      <c r="A27" s="217"/>
      <c r="B27" s="211"/>
      <c r="C27" s="217"/>
      <c r="D27" s="211"/>
      <c r="E27" s="217"/>
      <c r="F27" s="211"/>
      <c r="G27" s="220"/>
      <c r="H27" s="211"/>
      <c r="I27" s="220"/>
      <c r="J27" s="211"/>
      <c r="K27" s="109"/>
    </row>
    <row r="28" spans="1:12" x14ac:dyDescent="0.25">
      <c r="A28" s="214" t="s">
        <v>71</v>
      </c>
      <c r="B28" s="213">
        <f>SUM(B20:B27)</f>
        <v>0</v>
      </c>
      <c r="C28" s="214" t="s">
        <v>71</v>
      </c>
      <c r="D28" s="213">
        <f>SUM(D20:D27)</f>
        <v>0</v>
      </c>
      <c r="E28" s="214" t="s">
        <v>71</v>
      </c>
      <c r="F28" s="252">
        <f>SUM(F20:F27)</f>
        <v>0</v>
      </c>
      <c r="G28" s="214" t="s">
        <v>71</v>
      </c>
      <c r="H28" s="252">
        <f>SUM(H20:H27)</f>
        <v>0</v>
      </c>
      <c r="I28" s="214" t="s">
        <v>71</v>
      </c>
      <c r="J28" s="213">
        <f>SUM(J20:J27)</f>
        <v>0</v>
      </c>
      <c r="K28" s="213">
        <f>SUM(B28+D28+F28+H28+J28)</f>
        <v>0</v>
      </c>
    </row>
    <row r="29" spans="1:12" x14ac:dyDescent="0.25">
      <c r="A29" s="214" t="s">
        <v>152</v>
      </c>
      <c r="B29" s="213">
        <f>SUM(B18-B28)</f>
        <v>0</v>
      </c>
      <c r="C29" s="214" t="s">
        <v>152</v>
      </c>
      <c r="D29" s="213">
        <f>SUM(D18-D28)</f>
        <v>0</v>
      </c>
      <c r="E29" s="214" t="s">
        <v>152</v>
      </c>
      <c r="F29" s="213">
        <f>SUM(F18-F28)</f>
        <v>0</v>
      </c>
      <c r="G29" s="214" t="s">
        <v>152</v>
      </c>
      <c r="H29" s="213">
        <f>SUM(H18-H28)</f>
        <v>0</v>
      </c>
      <c r="I29" s="214" t="s">
        <v>152</v>
      </c>
      <c r="J29" s="213">
        <f>SUM(J18-J28)</f>
        <v>0</v>
      </c>
      <c r="K29" s="223">
        <f>SUM(B29+D29+F29+H29+J29)</f>
        <v>0</v>
      </c>
      <c r="L29" s="24" t="s">
        <v>211</v>
      </c>
    </row>
    <row r="30" spans="1:12" x14ac:dyDescent="0.25">
      <c r="A30" s="214"/>
      <c r="B30" s="243" t="str">
        <f>IF(B29&lt;0,"See Tab B","")</f>
        <v/>
      </c>
      <c r="C30" s="214"/>
      <c r="D30" s="243" t="str">
        <f>IF(D29&lt;0,"See Tab B","")</f>
        <v/>
      </c>
      <c r="E30" s="214"/>
      <c r="F30" s="243" t="str">
        <f>IF(F29&lt;0,"See Tab B","")</f>
        <v/>
      </c>
      <c r="G30" s="28"/>
      <c r="H30" s="243" t="str">
        <f>IF(H29&lt;0,"See Tab B","")</f>
        <v/>
      </c>
      <c r="I30" s="28"/>
      <c r="J30" s="243" t="str">
        <f>IF(J29&lt;0,"See Tab B","")</f>
        <v/>
      </c>
      <c r="K30" s="223">
        <f>SUM(K7+K17-K28)</f>
        <v>0</v>
      </c>
      <c r="L30" s="24" t="s">
        <v>211</v>
      </c>
    </row>
    <row r="31" spans="1:12" x14ac:dyDescent="0.25">
      <c r="A31" s="28"/>
      <c r="B31" s="56"/>
      <c r="C31" s="28"/>
      <c r="D31" s="109"/>
      <c r="E31" s="28"/>
      <c r="F31" s="28"/>
      <c r="G31" s="28"/>
      <c r="H31" s="778" t="s">
        <v>212</v>
      </c>
      <c r="I31" s="778"/>
      <c r="J31" s="778"/>
      <c r="K31" s="778"/>
    </row>
    <row r="32" spans="1:12" x14ac:dyDescent="0.25">
      <c r="A32" s="28"/>
      <c r="B32" s="56"/>
      <c r="C32" s="28"/>
      <c r="D32" s="28"/>
      <c r="E32" s="28"/>
      <c r="F32" s="28"/>
      <c r="G32" s="28"/>
      <c r="H32" s="28"/>
      <c r="I32" s="28"/>
      <c r="J32" s="28"/>
      <c r="K32" s="28"/>
    </row>
    <row r="33" spans="1:11" x14ac:dyDescent="0.25">
      <c r="A33" s="540" t="s">
        <v>537</v>
      </c>
      <c r="B33" s="112"/>
      <c r="C33" s="69"/>
      <c r="D33" s="69"/>
      <c r="E33" s="69"/>
      <c r="F33" s="69"/>
      <c r="G33" s="69"/>
      <c r="H33" s="69"/>
      <c r="I33" s="69"/>
      <c r="J33" s="69"/>
      <c r="K33" s="512"/>
    </row>
    <row r="34" spans="1:11" x14ac:dyDescent="0.25">
      <c r="A34" s="537"/>
      <c r="B34" s="56"/>
      <c r="C34" s="28"/>
      <c r="D34" s="28"/>
      <c r="E34" s="28"/>
      <c r="F34" s="28"/>
      <c r="G34" s="28"/>
      <c r="H34" s="28"/>
      <c r="I34" s="28"/>
      <c r="J34" s="28"/>
      <c r="K34" s="538"/>
    </row>
    <row r="35" spans="1:11" x14ac:dyDescent="0.25">
      <c r="A35" s="515"/>
      <c r="B35" s="111"/>
      <c r="C35" s="43"/>
      <c r="D35" s="43"/>
      <c r="E35" s="43"/>
      <c r="F35" s="43"/>
      <c r="G35" s="43"/>
      <c r="H35" s="43"/>
      <c r="I35" s="43"/>
      <c r="J35" s="43"/>
      <c r="K35" s="49"/>
    </row>
    <row r="36" spans="1:11" x14ac:dyDescent="0.25">
      <c r="A36" s="28"/>
      <c r="B36" s="56"/>
      <c r="C36" s="28"/>
      <c r="D36" s="28"/>
      <c r="E36" s="28"/>
      <c r="F36" s="28"/>
      <c r="G36" s="28"/>
      <c r="H36" s="28"/>
      <c r="I36" s="28"/>
      <c r="J36" s="28"/>
      <c r="K36" s="28"/>
    </row>
    <row r="37" spans="1:11" x14ac:dyDescent="0.25">
      <c r="A37" s="28"/>
      <c r="B37" s="56"/>
      <c r="C37" s="28"/>
      <c r="D37" s="28"/>
      <c r="E37" s="28"/>
      <c r="F37" s="28"/>
      <c r="G37" s="28"/>
      <c r="H37" s="28"/>
      <c r="I37" s="28"/>
      <c r="J37" s="28"/>
      <c r="K37" s="28"/>
    </row>
    <row r="38" spans="1:11" x14ac:dyDescent="0.25">
      <c r="A38" s="28"/>
      <c r="B38" s="56"/>
      <c r="C38" s="28"/>
      <c r="D38" s="28"/>
      <c r="E38" s="80" t="s">
        <v>74</v>
      </c>
      <c r="F38" s="465"/>
      <c r="G38" s="28"/>
      <c r="H38" s="28"/>
      <c r="I38" s="28"/>
      <c r="J38" s="28"/>
      <c r="K38" s="28"/>
    </row>
    <row r="39" spans="1:11" x14ac:dyDescent="0.25">
      <c r="B39" s="224"/>
    </row>
    <row r="40" spans="1:11" x14ac:dyDescent="0.25">
      <c r="B40" s="224"/>
    </row>
    <row r="41" spans="1:11" x14ac:dyDescent="0.25">
      <c r="B41" s="224"/>
    </row>
    <row r="42" spans="1:11" x14ac:dyDescent="0.25">
      <c r="B42" s="224"/>
    </row>
    <row r="43" spans="1:11" x14ac:dyDescent="0.25">
      <c r="B43" s="224"/>
    </row>
    <row r="44" spans="1:11" x14ac:dyDescent="0.25">
      <c r="B44" s="224"/>
    </row>
    <row r="45" spans="1:11" x14ac:dyDescent="0.25">
      <c r="B45" s="224"/>
    </row>
    <row r="46" spans="1:11" x14ac:dyDescent="0.25">
      <c r="B46" s="224"/>
    </row>
  </sheetData>
  <sheetProtection sheet="1" objects="1" scenarios="1"/>
  <mergeCells count="6">
    <mergeCell ref="H31:K31"/>
    <mergeCell ref="I5:J5"/>
    <mergeCell ref="A5:B5"/>
    <mergeCell ref="C5:D5"/>
    <mergeCell ref="E5:F5"/>
    <mergeCell ref="G5:H5"/>
  </mergeCells>
  <phoneticPr fontId="8" type="noConversion"/>
  <pageMargins left="0.75" right="0.75" top="1" bottom="1" header="0.5" footer="0.5"/>
  <pageSetup scale="88" orientation="landscape" blackAndWhite="1" r:id="rId1"/>
  <headerFooter alignWithMargins="0">
    <oddHeader>&amp;RState of Kansas
City</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66"/>
  <sheetViews>
    <sheetView workbookViewId="0">
      <selection activeCell="E97" sqref="E97"/>
    </sheetView>
  </sheetViews>
  <sheetFormatPr defaultColWidth="8.9140625" defaultRowHeight="12.5" x14ac:dyDescent="0.25"/>
  <cols>
    <col min="1" max="1" width="70.58203125" style="64" customWidth="1"/>
    <col min="2" max="16384" width="8.9140625" style="64"/>
  </cols>
  <sheetData>
    <row r="1" spans="1:1" ht="17.5" x14ac:dyDescent="0.35">
      <c r="A1" s="302" t="s">
        <v>222</v>
      </c>
    </row>
    <row r="2" spans="1:1" ht="15.5" x14ac:dyDescent="0.35">
      <c r="A2" s="1"/>
    </row>
    <row r="3" spans="1:1" ht="57" customHeight="1" x14ac:dyDescent="0.35">
      <c r="A3" s="303" t="s">
        <v>223</v>
      </c>
    </row>
    <row r="4" spans="1:1" ht="15.5" x14ac:dyDescent="0.35">
      <c r="A4" s="301"/>
    </row>
    <row r="5" spans="1:1" ht="15.5" x14ac:dyDescent="0.35">
      <c r="A5" s="1"/>
    </row>
    <row r="6" spans="1:1" ht="44.25" customHeight="1" x14ac:dyDescent="0.35">
      <c r="A6" s="303" t="s">
        <v>224</v>
      </c>
    </row>
    <row r="7" spans="1:1" ht="15.5" x14ac:dyDescent="0.35">
      <c r="A7" s="1"/>
    </row>
    <row r="8" spans="1:1" ht="15.5" x14ac:dyDescent="0.35">
      <c r="A8" s="301"/>
    </row>
    <row r="9" spans="1:1" ht="46.5" customHeight="1" x14ac:dyDescent="0.35">
      <c r="A9" s="303" t="s">
        <v>225</v>
      </c>
    </row>
    <row r="10" spans="1:1" ht="15.5" x14ac:dyDescent="0.35">
      <c r="A10" s="1"/>
    </row>
    <row r="11" spans="1:1" ht="15.5" x14ac:dyDescent="0.35">
      <c r="A11" s="301"/>
    </row>
    <row r="12" spans="1:1" ht="60" customHeight="1" x14ac:dyDescent="0.35">
      <c r="A12" s="303" t="s">
        <v>226</v>
      </c>
    </row>
    <row r="13" spans="1:1" ht="15.5" x14ac:dyDescent="0.35">
      <c r="A13" s="1"/>
    </row>
    <row r="14" spans="1:1" ht="15.5" x14ac:dyDescent="0.35">
      <c r="A14" s="1"/>
    </row>
    <row r="15" spans="1:1" ht="61.5" customHeight="1" x14ac:dyDescent="0.35">
      <c r="A15" s="303" t="s">
        <v>227</v>
      </c>
    </row>
    <row r="16" spans="1:1" ht="15.5" x14ac:dyDescent="0.35">
      <c r="A16" s="1"/>
    </row>
    <row r="17" spans="1:1" ht="15.5" x14ac:dyDescent="0.35">
      <c r="A17" s="1"/>
    </row>
    <row r="18" spans="1:1" ht="59.25" customHeight="1" x14ac:dyDescent="0.35">
      <c r="A18" s="303" t="s">
        <v>228</v>
      </c>
    </row>
    <row r="19" spans="1:1" ht="15.5" x14ac:dyDescent="0.35">
      <c r="A19" s="1"/>
    </row>
    <row r="20" spans="1:1" ht="15.5" x14ac:dyDescent="0.35">
      <c r="A20" s="1"/>
    </row>
    <row r="21" spans="1:1" ht="61.5" customHeight="1" x14ac:dyDescent="0.35">
      <c r="A21" s="303" t="s">
        <v>229</v>
      </c>
    </row>
    <row r="22" spans="1:1" ht="15.5" x14ac:dyDescent="0.35">
      <c r="A22" s="301"/>
    </row>
    <row r="23" spans="1:1" ht="15.5" x14ac:dyDescent="0.35">
      <c r="A23" s="301"/>
    </row>
    <row r="24" spans="1:1" ht="63" customHeight="1" x14ac:dyDescent="0.35">
      <c r="A24" s="303" t="s">
        <v>230</v>
      </c>
    </row>
    <row r="25" spans="1:1" ht="15.5" x14ac:dyDescent="0.35">
      <c r="A25" s="1"/>
    </row>
    <row r="26" spans="1:1" ht="15.5" x14ac:dyDescent="0.35">
      <c r="A26" s="1"/>
    </row>
    <row r="27" spans="1:1" ht="52.5" customHeight="1" x14ac:dyDescent="0.35">
      <c r="A27" s="311" t="s">
        <v>339</v>
      </c>
    </row>
    <row r="28" spans="1:1" ht="15.5" x14ac:dyDescent="0.35">
      <c r="A28" s="1"/>
    </row>
    <row r="29" spans="1:1" ht="15.5" x14ac:dyDescent="0.35">
      <c r="A29" s="1"/>
    </row>
    <row r="30" spans="1:1" ht="44.25" customHeight="1" x14ac:dyDescent="0.35">
      <c r="A30" s="303" t="s">
        <v>231</v>
      </c>
    </row>
    <row r="31" spans="1:1" ht="15.5" x14ac:dyDescent="0.35">
      <c r="A31" s="1"/>
    </row>
    <row r="32" spans="1:1" ht="15.5" x14ac:dyDescent="0.35">
      <c r="A32" s="1"/>
    </row>
    <row r="33" spans="1:1" ht="42.75" customHeight="1" x14ac:dyDescent="0.35">
      <c r="A33" s="303" t="s">
        <v>232</v>
      </c>
    </row>
    <row r="34" spans="1:1" ht="15.5" x14ac:dyDescent="0.35">
      <c r="A34" s="301"/>
    </row>
    <row r="35" spans="1:1" ht="15.5" x14ac:dyDescent="0.35">
      <c r="A35" s="301"/>
    </row>
    <row r="36" spans="1:1" ht="38.25" customHeight="1" x14ac:dyDescent="0.35">
      <c r="A36" s="303" t="s">
        <v>233</v>
      </c>
    </row>
    <row r="37" spans="1:1" ht="15.5" x14ac:dyDescent="0.35">
      <c r="A37" s="301"/>
    </row>
    <row r="38" spans="1:1" ht="15.5" x14ac:dyDescent="0.35">
      <c r="A38" s="1"/>
    </row>
    <row r="39" spans="1:1" ht="75.75" customHeight="1" x14ac:dyDescent="0.35">
      <c r="A39" s="303" t="s">
        <v>234</v>
      </c>
    </row>
    <row r="40" spans="1:1" ht="15.5" x14ac:dyDescent="0.35">
      <c r="A40" s="1"/>
    </row>
    <row r="41" spans="1:1" ht="15.5" x14ac:dyDescent="0.35">
      <c r="A41" s="1"/>
    </row>
    <row r="42" spans="1:1" ht="57.75" customHeight="1" x14ac:dyDescent="0.35">
      <c r="A42" s="303" t="s">
        <v>235</v>
      </c>
    </row>
    <row r="43" spans="1:1" ht="15.5" x14ac:dyDescent="0.35">
      <c r="A43" s="301"/>
    </row>
    <row r="44" spans="1:1" ht="15.5" x14ac:dyDescent="0.35">
      <c r="A44" s="1"/>
    </row>
    <row r="45" spans="1:1" ht="57.75" customHeight="1" x14ac:dyDescent="0.35">
      <c r="A45" s="303" t="s">
        <v>236</v>
      </c>
    </row>
    <row r="46" spans="1:1" ht="15.5" x14ac:dyDescent="0.35">
      <c r="A46" s="1"/>
    </row>
    <row r="47" spans="1:1" ht="15.5" x14ac:dyDescent="0.35">
      <c r="A47" s="1"/>
    </row>
    <row r="48" spans="1:1" ht="41.25" customHeight="1" x14ac:dyDescent="0.35">
      <c r="A48" s="303" t="s">
        <v>237</v>
      </c>
    </row>
    <row r="49" spans="1:1" ht="15.5" x14ac:dyDescent="0.35">
      <c r="A49" s="1"/>
    </row>
    <row r="50" spans="1:1" ht="15.5" x14ac:dyDescent="0.35">
      <c r="A50" s="1"/>
    </row>
    <row r="51" spans="1:1" ht="75" customHeight="1" x14ac:dyDescent="0.35">
      <c r="A51" s="303" t="s">
        <v>238</v>
      </c>
    </row>
    <row r="52" spans="1:1" ht="15.5" x14ac:dyDescent="0.35">
      <c r="A52" s="301"/>
    </row>
    <row r="53" spans="1:1" ht="15.5" x14ac:dyDescent="0.35">
      <c r="A53" s="301"/>
    </row>
    <row r="54" spans="1:1" ht="57.75" customHeight="1" x14ac:dyDescent="0.35">
      <c r="A54" s="303" t="s">
        <v>239</v>
      </c>
    </row>
    <row r="55" spans="1:1" ht="15.5" x14ac:dyDescent="0.35">
      <c r="A55" s="1"/>
    </row>
    <row r="56" spans="1:1" ht="15.5" x14ac:dyDescent="0.35">
      <c r="A56" s="1"/>
    </row>
    <row r="57" spans="1:1" ht="44.25" customHeight="1" x14ac:dyDescent="0.35">
      <c r="A57" s="303" t="s">
        <v>240</v>
      </c>
    </row>
    <row r="58" spans="1:1" ht="15.5" x14ac:dyDescent="0.35">
      <c r="A58" s="1"/>
    </row>
    <row r="59" spans="1:1" ht="15.5" x14ac:dyDescent="0.35">
      <c r="A59" s="1"/>
    </row>
    <row r="60" spans="1:1" ht="60" customHeight="1" x14ac:dyDescent="0.35">
      <c r="A60" s="303" t="s">
        <v>241</v>
      </c>
    </row>
    <row r="61" spans="1:1" ht="15.5" x14ac:dyDescent="0.35">
      <c r="A61" s="301"/>
    </row>
    <row r="62" spans="1:1" ht="15.5" x14ac:dyDescent="0.35">
      <c r="A62" s="301"/>
    </row>
    <row r="63" spans="1:1" ht="57.75" customHeight="1" x14ac:dyDescent="0.35">
      <c r="A63" s="303" t="s">
        <v>242</v>
      </c>
    </row>
    <row r="64" spans="1:1" ht="15.5" x14ac:dyDescent="0.35">
      <c r="A64" s="1"/>
    </row>
    <row r="65" spans="1:1" ht="15.5" x14ac:dyDescent="0.35">
      <c r="A65" s="1"/>
    </row>
    <row r="66" spans="1:1" ht="60" customHeight="1" x14ac:dyDescent="0.35">
      <c r="A66" s="303" t="s">
        <v>243</v>
      </c>
    </row>
  </sheetData>
  <sheetProtection sheet="1" objects="1" scenarios="1"/>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pageSetUpPr fitToPage="1"/>
  </sheetPr>
  <dimension ref="A1:N72"/>
  <sheetViews>
    <sheetView topLeftCell="A12" zoomScale="90" zoomScaleNormal="90" workbookViewId="0">
      <selection activeCell="J23" sqref="J23"/>
    </sheetView>
  </sheetViews>
  <sheetFormatPr defaultColWidth="8.9140625" defaultRowHeight="15.5" x14ac:dyDescent="0.25"/>
  <cols>
    <col min="1" max="1" width="20.75" style="24" customWidth="1"/>
    <col min="2" max="2" width="15.75" style="24" customWidth="1"/>
    <col min="3" max="3" width="8.75" style="24" customWidth="1"/>
    <col min="4" max="4" width="15.75" style="24" customWidth="1"/>
    <col min="5" max="5" width="9.08203125" style="24" customWidth="1"/>
    <col min="6" max="6" width="14.6640625" style="24" customWidth="1"/>
    <col min="7" max="7" width="12.75" style="24" customWidth="1"/>
    <col min="8" max="8" width="10.08203125" style="24" customWidth="1"/>
    <col min="9" max="9" width="8.9140625" style="24"/>
    <col min="10" max="10" width="12.4140625" style="24" customWidth="1"/>
    <col min="11" max="11" width="12.33203125" style="24" customWidth="1"/>
    <col min="12" max="12" width="10.58203125" style="24" customWidth="1"/>
    <col min="13" max="13" width="13.4140625" style="24" customWidth="1"/>
    <col min="14" max="14" width="11.75" style="24" customWidth="1"/>
    <col min="15" max="16384" width="8.9140625" style="24"/>
  </cols>
  <sheetData>
    <row r="1" spans="1:9" x14ac:dyDescent="0.25">
      <c r="A1" s="781" t="s">
        <v>116</v>
      </c>
      <c r="B1" s="781"/>
      <c r="C1" s="781"/>
      <c r="D1" s="781"/>
      <c r="E1" s="781"/>
      <c r="F1" s="781"/>
      <c r="G1" s="781"/>
      <c r="H1" s="781"/>
      <c r="I1" s="225"/>
    </row>
    <row r="2" spans="1:9" ht="18" customHeight="1" x14ac:dyDescent="0.25">
      <c r="A2" s="28"/>
      <c r="B2" s="28"/>
      <c r="C2" s="28"/>
      <c r="D2" s="28"/>
      <c r="E2" s="28"/>
      <c r="F2" s="28"/>
      <c r="G2" s="28"/>
      <c r="H2" s="28">
        <f>inputPrYr!$C$6</f>
        <v>2026</v>
      </c>
    </row>
    <row r="3" spans="1:9" ht="18" customHeight="1" x14ac:dyDescent="0.25">
      <c r="A3" s="714" t="s">
        <v>76</v>
      </c>
      <c r="B3" s="714"/>
      <c r="C3" s="714"/>
      <c r="D3" s="714"/>
      <c r="E3" s="714"/>
      <c r="F3" s="714"/>
      <c r="G3" s="714"/>
      <c r="H3" s="714"/>
    </row>
    <row r="4" spans="1:9" x14ac:dyDescent="0.25">
      <c r="A4" s="685" t="str">
        <f>inputPrYr!D3</f>
        <v>The City of Colby</v>
      </c>
      <c r="B4" s="685"/>
      <c r="C4" s="685"/>
      <c r="D4" s="685"/>
      <c r="E4" s="685"/>
      <c r="F4" s="685"/>
      <c r="G4" s="685"/>
      <c r="H4" s="685"/>
    </row>
    <row r="5" spans="1:9" ht="18" customHeight="1" x14ac:dyDescent="0.35">
      <c r="A5" s="786" t="str">
        <f>CONCATENATE("will meet on ",inputHearing!B18," at ",inputHearing!B20," at ",inputHearing!B22," for the purpose of hearing and")</f>
        <v>will meet on  at  at  for the purpose of hearing and</v>
      </c>
      <c r="B5" s="786"/>
      <c r="C5" s="786"/>
      <c r="D5" s="786"/>
      <c r="E5" s="786"/>
      <c r="F5" s="786"/>
      <c r="G5" s="786"/>
      <c r="H5" s="786"/>
    </row>
    <row r="6" spans="1:9" ht="16.5" customHeight="1" x14ac:dyDescent="0.25">
      <c r="A6" s="714" t="s">
        <v>306</v>
      </c>
      <c r="B6" s="714"/>
      <c r="C6" s="714"/>
      <c r="D6" s="714"/>
      <c r="E6" s="714"/>
      <c r="F6" s="714"/>
      <c r="G6" s="714"/>
      <c r="H6" s="714"/>
    </row>
    <row r="7" spans="1:9" ht="16.5" customHeight="1" x14ac:dyDescent="0.25">
      <c r="A7" s="782" t="str">
        <f>CONCATENATE("Detailed budget information is available at ",inputHearing!B24," and will be available at this hearing.")</f>
        <v>Detailed budget information is available at  and will be available at this hearing.</v>
      </c>
      <c r="B7" s="782"/>
      <c r="C7" s="782"/>
      <c r="D7" s="782"/>
      <c r="E7" s="782"/>
      <c r="F7" s="782"/>
      <c r="G7" s="782"/>
      <c r="H7" s="782"/>
    </row>
    <row r="8" spans="1:9" x14ac:dyDescent="0.25">
      <c r="A8" s="32" t="s">
        <v>117</v>
      </c>
      <c r="B8" s="33"/>
      <c r="C8" s="33"/>
      <c r="D8" s="33"/>
      <c r="E8" s="33"/>
      <c r="F8" s="33"/>
      <c r="G8" s="33"/>
      <c r="H8" s="33"/>
    </row>
    <row r="9" spans="1:9" x14ac:dyDescent="0.25">
      <c r="A9" s="81" t="str">
        <f>CONCATENATE("Proposed Budget ",H2," Expenditures and Amount of ",H2-1," Ad Valorem Tax establish the maximum limits of the ",H2," budget.")</f>
        <v>Proposed Budget 2026 Expenditures and Amount of 2025 Ad Valorem Tax establish the maximum limits of the 2026 budget.</v>
      </c>
      <c r="B9" s="33"/>
      <c r="C9" s="33"/>
      <c r="D9" s="33"/>
      <c r="E9" s="33"/>
      <c r="F9" s="33"/>
      <c r="G9" s="33"/>
      <c r="H9" s="33"/>
    </row>
    <row r="10" spans="1:9" x14ac:dyDescent="0.25">
      <c r="A10" s="81" t="s">
        <v>139</v>
      </c>
      <c r="B10" s="33"/>
      <c r="C10" s="33"/>
      <c r="D10" s="33"/>
      <c r="E10" s="33"/>
      <c r="F10" s="33"/>
      <c r="G10" s="33"/>
      <c r="H10" s="33"/>
    </row>
    <row r="11" spans="1:9" x14ac:dyDescent="0.25">
      <c r="A11" s="28"/>
      <c r="B11" s="194"/>
      <c r="C11" s="194"/>
      <c r="D11" s="194"/>
      <c r="E11" s="194"/>
      <c r="F11" s="194"/>
      <c r="G11" s="194"/>
      <c r="H11" s="194"/>
    </row>
    <row r="12" spans="1:9" x14ac:dyDescent="0.25">
      <c r="A12" s="28"/>
      <c r="B12" s="226" t="str">
        <f>CONCATENATE("Prior Year Actual for ",H2-2,"")</f>
        <v>Prior Year Actual for 2024</v>
      </c>
      <c r="C12" s="84"/>
      <c r="D12" s="226" t="str">
        <f>CONCATENATE("Current Year Estimate for ",H2-1,"")</f>
        <v>Current Year Estimate for 2025</v>
      </c>
      <c r="E12" s="84"/>
      <c r="F12" s="82" t="str">
        <f>CONCATENATE("Proposed Budget Year for ",H2,"")</f>
        <v>Proposed Budget Year for 2026</v>
      </c>
      <c r="G12" s="83"/>
      <c r="H12" s="84"/>
    </row>
    <row r="13" spans="1:9" ht="29.25" customHeight="1" x14ac:dyDescent="0.25">
      <c r="A13" s="28"/>
      <c r="B13" s="792" t="s">
        <v>79</v>
      </c>
      <c r="C13" s="794" t="s">
        <v>704</v>
      </c>
      <c r="D13" s="792" t="s">
        <v>79</v>
      </c>
      <c r="E13" s="794" t="s">
        <v>704</v>
      </c>
      <c r="F13" s="798" t="s">
        <v>703</v>
      </c>
      <c r="G13" s="794" t="str">
        <f>CONCATENATE("Amount of ",H2-1," Ad Valorem Tax")</f>
        <v>Amount of 2025 Ad Valorem Tax</v>
      </c>
      <c r="H13" s="794" t="s">
        <v>705</v>
      </c>
    </row>
    <row r="14" spans="1:9" ht="16.5" customHeight="1" x14ac:dyDescent="0.25">
      <c r="A14" s="52" t="s">
        <v>78</v>
      </c>
      <c r="B14" s="793"/>
      <c r="C14" s="795"/>
      <c r="D14" s="793"/>
      <c r="E14" s="795"/>
      <c r="F14" s="799"/>
      <c r="G14" s="795"/>
      <c r="H14" s="795"/>
    </row>
    <row r="15" spans="1:9" x14ac:dyDescent="0.25">
      <c r="A15" s="52" t="str">
        <f>inputPrYr!B18</f>
        <v>General</v>
      </c>
      <c r="B15" s="52">
        <f>IF(General7a!$C$102&lt;&gt;0,General7a!$C$102,"  ")</f>
        <v>4427076</v>
      </c>
      <c r="C15" s="227">
        <f>IF(inputPrYr!D85&gt;0,inputPrYr!D85,"  ")</f>
        <v>12.6</v>
      </c>
      <c r="D15" s="52">
        <f>IF(General7a!$D$102&lt;&gt;0,General7a!$D$102,"  ")</f>
        <v>4989413</v>
      </c>
      <c r="E15" s="227">
        <f>IF(inputOth!D24&gt;0,inputOth!D24,"  ")</f>
        <v>13.518000000000001</v>
      </c>
      <c r="F15" s="52">
        <f>IF(General7a!$E$102&lt;&gt;0,General7a!$E$102,"  ")</f>
        <v>5363826</v>
      </c>
      <c r="G15" s="52">
        <f>IF(General7a!$E$109&lt;&gt;0,General7a!$E$109,"  ")</f>
        <v>862737.53000000026</v>
      </c>
      <c r="H15" s="227">
        <f>IF(General7a!E109&gt;0,ROUND(G15/$F$58*1000,3),"")</f>
        <v>13.206</v>
      </c>
    </row>
    <row r="16" spans="1:9" x14ac:dyDescent="0.25">
      <c r="A16" s="52" t="str">
        <f>inputPrYr!B19</f>
        <v>Debt Service</v>
      </c>
      <c r="B16" s="52">
        <f>IF('DebtSvs-Library8'!C34&lt;&gt;0,'DebtSvs-Library8'!C34,"  ")</f>
        <v>1160203</v>
      </c>
      <c r="C16" s="227" t="str">
        <f>IF(inputPrYr!D86&gt;0,inputPrYr!D86,"  ")</f>
        <v xml:space="preserve">  </v>
      </c>
      <c r="D16" s="52">
        <f>IF('DebtSvs-Library8'!D34&lt;&gt;0,'DebtSvs-Library8'!D34,"  ")</f>
        <v>1197660</v>
      </c>
      <c r="E16" s="227" t="str">
        <f>IF(inputOth!D25&gt;0,inputOth!D25,"  ")</f>
        <v xml:space="preserve">  </v>
      </c>
      <c r="F16" s="52">
        <f>IF('DebtSvs-Library8'!E34&lt;&gt;0,'DebtSvs-Library8'!E34,"  ")</f>
        <v>1339423</v>
      </c>
      <c r="G16" s="52" t="str">
        <f>IF('DebtSvs-Library8'!E41&lt;&gt;0,'DebtSvs-Library8'!E41,"  ")</f>
        <v xml:space="preserve">  </v>
      </c>
      <c r="H16" s="227" t="str">
        <f>IF('DebtSvs-Library8'!E41&gt;0,ROUND(G16/$F$58*1000,3),"  ")</f>
        <v xml:space="preserve">  </v>
      </c>
    </row>
    <row r="17" spans="1:13" x14ac:dyDescent="0.25">
      <c r="A17" s="52" t="str">
        <f>IF(inputPrYr!$B20&gt;"  ",(inputPrYr!$B20),"  ")</f>
        <v>Library</v>
      </c>
      <c r="B17" s="52">
        <f>IF('DebtSvs-Library8'!C74&lt;&gt;0,'DebtSvs-Library8'!C74,"  ")</f>
        <v>343396</v>
      </c>
      <c r="C17" s="227">
        <f>IF(inputPrYr!D87&gt;0,inputPrYr!D87,"  ")</f>
        <v>5.4059999999999997</v>
      </c>
      <c r="D17" s="52">
        <f>IF('DebtSvs-Library8'!D74&lt;&gt;0,'DebtSvs-Library8'!D74,"  ")</f>
        <v>348133</v>
      </c>
      <c r="E17" s="227">
        <f>IF(inputOth!D26&gt;0,inputOth!D26,"  ")</f>
        <v>5.3460000000000001</v>
      </c>
      <c r="F17" s="52">
        <f>IF('DebtSvs-Library8'!E74&lt;&gt;0,'DebtSvs-Library8'!E74,"  ")</f>
        <v>360989</v>
      </c>
      <c r="G17" s="52">
        <f>IF('DebtSvs-Library8'!E81&lt;&gt;0,'DebtSvs-Library8'!E81,"  ")</f>
        <v>336952</v>
      </c>
      <c r="H17" s="227">
        <f>IF('DebtSvs-Library8'!E81&lt;&gt;0,ROUND(G17/$F$58*1000,3),"  ")</f>
        <v>5.1580000000000004</v>
      </c>
    </row>
    <row r="18" spans="1:13" x14ac:dyDescent="0.25">
      <c r="A18" s="52" t="str">
        <f>IF(inputPrYr!$B22&gt;"  ",(inputPrYr!$B22),"  ")</f>
        <v>Recreation</v>
      </c>
      <c r="B18" s="52">
        <f>IF('Rec-NoxWds9'!$C$33&gt;0,'Rec-NoxWds9'!$C$33,"  ")</f>
        <v>385493</v>
      </c>
      <c r="C18" s="227">
        <f>IF(inputPrYr!D88&gt;0,inputPrYr!D88,"  ")</f>
        <v>3.2440000000000002</v>
      </c>
      <c r="D18" s="52">
        <f>IF('Rec-NoxWds9'!$D$33&gt;0,'Rec-NoxWds9'!$D$33,"  ")</f>
        <v>368943</v>
      </c>
      <c r="E18" s="227">
        <f>IF(inputOth!D27&gt;0,inputOth!D27,"  ")</f>
        <v>3.19</v>
      </c>
      <c r="F18" s="52">
        <f>IF('Rec-NoxWds9'!$E$33&gt;0,'Rec-NoxWds9'!$E$33,"  ")</f>
        <v>392048</v>
      </c>
      <c r="G18" s="52">
        <f>IF('Rec-NoxWds9'!$E$40&lt;&gt;0,'Rec-NoxWds9'!$E$40,"  ")</f>
        <v>195990</v>
      </c>
      <c r="H18" s="227">
        <f>IF('Rec-NoxWds9'!E40&lt;&gt;0,ROUND(G18/$F$58*1000,3),"  ")</f>
        <v>3</v>
      </c>
    </row>
    <row r="19" spans="1:13" x14ac:dyDescent="0.25">
      <c r="A19" s="52" t="str">
        <f>IF(inputPrYr!$B23&gt;"  ",(inputPrYr!$B23),"  ")</f>
        <v>Noxious Weeds</v>
      </c>
      <c r="B19" s="52">
        <f>IF('Rec-NoxWds9'!$C$73&gt;0,'Rec-NoxWds9'!$C$73,"  ")</f>
        <v>6592</v>
      </c>
      <c r="C19" s="227">
        <f>IF(inputPrYr!D89&gt;0,inputPrYr!D89,"  ")</f>
        <v>9.0999999999999998E-2</v>
      </c>
      <c r="D19" s="52">
        <f>IF('Rec-NoxWds9'!$D$73&gt;0,'Rec-NoxWds9'!$D$73,"  ")</f>
        <v>17000</v>
      </c>
      <c r="E19" s="227">
        <f>IF(inputOth!D28&gt;0,inputOth!D28,"  ")</f>
        <v>0.11799999999999999</v>
      </c>
      <c r="F19" s="52">
        <f>IF('Rec-NoxWds9'!$E$73&gt;0,'Rec-NoxWds9'!$E$73,"  ")</f>
        <v>20000</v>
      </c>
      <c r="G19" s="52">
        <f>IF('Rec-NoxWds9'!$E$80&lt;&gt;0,'Rec-NoxWds9'!$E$80,"  ")</f>
        <v>15390</v>
      </c>
      <c r="H19" s="227">
        <f>IF('Rec-NoxWds9'!E80&lt;&gt;0,ROUND(G19/$F$58*1000,3),"  ")</f>
        <v>0.23599999999999999</v>
      </c>
    </row>
    <row r="20" spans="1:13" x14ac:dyDescent="0.25">
      <c r="A20" s="52" t="str">
        <f>IF(inputPrYr!$B24&gt;"  ",(inputPrYr!$B24),"  ")</f>
        <v>Special Fire/Police</v>
      </c>
      <c r="B20" s="52">
        <f>IF('SpFire-SpLiab10'!$C$33&gt;0,'SpFire-SpLiab10'!$C$33,"  ")</f>
        <v>110597</v>
      </c>
      <c r="C20" s="227">
        <f>IF(inputPrYr!D90&gt;0,inputPrYr!D90,"  ")</f>
        <v>0.80600000000000005</v>
      </c>
      <c r="D20" s="52">
        <f>IF('SpFire-SpLiab10'!$D$33&gt;0,'SpFire-SpLiab10'!$D$33,"  ")</f>
        <v>97716</v>
      </c>
      <c r="E20" s="227">
        <f>IF(inputOth!D29&gt;0,inputOth!D29,"  ")</f>
        <v>0.81899999999999995</v>
      </c>
      <c r="F20" s="52">
        <f>IF('SpFire-SpLiab10'!$E$33&gt;0,'SpFire-SpLiab10'!$E$33,"  ")</f>
        <v>191200</v>
      </c>
      <c r="G20" s="52">
        <f>IF('SpFire-SpLiab10'!$E$40&lt;&gt;0,'SpFire-SpLiab10'!$E$40,"  ")</f>
        <v>129732</v>
      </c>
      <c r="H20" s="227">
        <f>IF('SpFire-SpLiab10'!E40&lt;&gt;0,ROUND(G20/$F$58*1000,3),"  ")</f>
        <v>1.986</v>
      </c>
    </row>
    <row r="21" spans="1:13" x14ac:dyDescent="0.25">
      <c r="A21" s="52" t="str">
        <f>IF(inputPrYr!$B25&gt;"  ",(inputPrYr!$B25),"  ")</f>
        <v>Special Liability</v>
      </c>
      <c r="B21" s="52">
        <f>IF('SpFire-SpLiab10'!$C$72&gt;0,'SpFire-SpLiab10'!$C$72,"  ")</f>
        <v>48259</v>
      </c>
      <c r="C21" s="227">
        <f>IF(inputPrYr!D91&gt;0,inputPrYr!D91,"  ")</f>
        <v>0.47</v>
      </c>
      <c r="D21" s="52">
        <f>IF('SpFire-SpLiab10'!$D$72&gt;0,'SpFire-SpLiab10'!$D$72,"  ")</f>
        <v>50468</v>
      </c>
      <c r="E21" s="227">
        <f>IF(inputOth!D30&gt;0,inputOth!D30,"  ")</f>
        <v>0.96199999999999997</v>
      </c>
      <c r="F21" s="52">
        <f>IF('SpFire-SpLiab10'!$E$72&gt;0,'SpFire-SpLiab10'!$E$72,"  ")</f>
        <v>67919</v>
      </c>
      <c r="G21" s="52">
        <f>IF('SpFire-SpLiab10'!$E$79&lt;&gt;0,'SpFire-SpLiab10'!$E$79,"  ")</f>
        <v>46153</v>
      </c>
      <c r="H21" s="227">
        <f>IF('SpFire-SpLiab10'!E79&lt;&gt;0,ROUND(G21/$F$58*1000,3),"  ")</f>
        <v>0.70599999999999996</v>
      </c>
    </row>
    <row r="22" spans="1:13" x14ac:dyDescent="0.25">
      <c r="A22" s="52" t="str">
        <f>IF(inputPrYr!$B26&gt;"  ",(inputPrYr!$B26),"  ")</f>
        <v>Employee Benefits</v>
      </c>
      <c r="B22" s="52">
        <f>IF('EmBene-EcoDevo11'!$C$39&gt;0,'EmBene-EcoDevo11'!$C$39,"  ")</f>
        <v>1469148</v>
      </c>
      <c r="C22" s="227">
        <f>IF(inputPrYr!D92&gt;0,inputPrYr!D92,"  ")</f>
        <v>9.5660000000000007</v>
      </c>
      <c r="D22" s="52">
        <f>IF('EmBene-EcoDevo11'!$D$39&gt;0,'EmBene-EcoDevo11'!$D$39,"  ")</f>
        <v>1543751</v>
      </c>
      <c r="E22" s="227">
        <f>IF(inputOth!D31&gt;0,inputOth!D31,"  ")</f>
        <v>9.2249999999999996</v>
      </c>
      <c r="F22" s="52">
        <f>IF('EmBene-EcoDevo11'!$E$39&gt;0,'EmBene-EcoDevo11'!$E$39,"  ")</f>
        <v>2041751</v>
      </c>
      <c r="G22" s="52">
        <f>IF('EmBene-EcoDevo11'!$E$46&lt;&gt;0,'EmBene-EcoDevo11'!$E$46,"  ")</f>
        <v>580735</v>
      </c>
      <c r="H22" s="227">
        <f>IF('EmBene-EcoDevo11'!E46&lt;&gt;0,ROUND(G22/$F$58*1000,3),"  ")</f>
        <v>8.8889999999999993</v>
      </c>
    </row>
    <row r="23" spans="1:13" x14ac:dyDescent="0.25">
      <c r="A23" s="52" t="str">
        <f>IF(inputPrYr!$B27&gt;"  ",(inputPrYr!$B27),"  ")</f>
        <v>Economic Development</v>
      </c>
      <c r="B23" s="52">
        <f>IF('EmBene-EcoDevo11'!$C$77&gt;0,'EmBene-EcoDevo11'!$C$77,"  ")</f>
        <v>793328</v>
      </c>
      <c r="C23" s="227">
        <f>IF(inputPrYr!D93&gt;0,inputPrYr!D93,"  ")</f>
        <v>1.343</v>
      </c>
      <c r="D23" s="52">
        <f>IF('EmBene-EcoDevo11'!$D$77&gt;0,'EmBene-EcoDevo11'!$D$77,"  ")</f>
        <v>432024</v>
      </c>
      <c r="E23" s="227">
        <f>IF(inputOth!D32&gt;0,inputOth!D32,"  ")</f>
        <v>1.222</v>
      </c>
      <c r="F23" s="52">
        <f>IF('EmBene-EcoDevo11'!$E$77&gt;0,'EmBene-EcoDevo11'!$E$77,"  ")</f>
        <v>2431861</v>
      </c>
      <c r="G23" s="52">
        <f>IF('EmBene-EcoDevo11'!$E$84&lt;&gt;0,'EmBene-EcoDevo11'!$E$84,"  ")</f>
        <v>79665</v>
      </c>
      <c r="H23" s="227">
        <f>IF('EmBene-EcoDevo11'!E84&lt;&gt;0,ROUND(G23/$F$58*1000,3),"  ")</f>
        <v>1.2190000000000001</v>
      </c>
    </row>
    <row r="24" spans="1:13" x14ac:dyDescent="0.25">
      <c r="A24" s="52" t="str">
        <f>IF(inputPrYr!$B28&gt;"  ",(inputPrYr!$B28),"  ")</f>
        <v xml:space="preserve">  </v>
      </c>
      <c r="B24" s="52" t="str">
        <f>IF('NU Levy'!$C$33&gt;0,'NU Levy'!$C$33,"  ")</f>
        <v xml:space="preserve">  </v>
      </c>
      <c r="C24" s="227" t="str">
        <f>IF(inputPrYr!D94&gt;0,inputPrYr!D94,"  ")</f>
        <v xml:space="preserve">  </v>
      </c>
      <c r="D24" s="52" t="str">
        <f>IF('NU Levy'!$D$33&gt;0,'NU Levy'!$D$33,"  ")</f>
        <v xml:space="preserve">  </v>
      </c>
      <c r="E24" s="227" t="str">
        <f>IF(inputOth!D33&gt;0,inputOth!D33,"  ")</f>
        <v xml:space="preserve">  </v>
      </c>
      <c r="F24" s="52" t="str">
        <f>IF('NU Levy'!$E$33&gt;0,'NU Levy'!$E$33,"  ")</f>
        <v xml:space="preserve">  </v>
      </c>
      <c r="G24" s="52" t="str">
        <f>IF('NU Levy'!$E$40&lt;&gt;0,'NU Levy'!$E$40,"  ")</f>
        <v xml:space="preserve">  </v>
      </c>
      <c r="H24" s="227" t="str">
        <f>IF('NU Levy'!E40&lt;&gt;0,ROUND(G24/$F$58*1000,3),"  ")</f>
        <v xml:space="preserve">  </v>
      </c>
    </row>
    <row r="25" spans="1:13" x14ac:dyDescent="0.25">
      <c r="A25" s="52" t="str">
        <f>IF(inputPrYr!$B29&gt;"  ",(inputPrYr!$B29),"  ")</f>
        <v xml:space="preserve">  </v>
      </c>
      <c r="B25" s="52" t="str">
        <f>IF('NU Levy'!$C$72&gt;0,'NU Levy'!$C$72,"  ")</f>
        <v xml:space="preserve">  </v>
      </c>
      <c r="C25" s="227" t="str">
        <f>IF(inputPrYr!D95&gt;0,inputPrYr!D95,"  ")</f>
        <v xml:space="preserve">  </v>
      </c>
      <c r="D25" s="52" t="str">
        <f>IF('NU Levy'!$D$72&gt;0,'NU Levy'!$D$72,"  ")</f>
        <v xml:space="preserve">  </v>
      </c>
      <c r="E25" s="227" t="str">
        <f>IF(inputOth!D34&gt;0,inputOth!D34,"  ")</f>
        <v xml:space="preserve">  </v>
      </c>
      <c r="F25" s="52" t="str">
        <f>IF('NU Levy'!$E$72&gt;0,'NU Levy'!$E$72,"  ")</f>
        <v xml:space="preserve">  </v>
      </c>
      <c r="G25" s="52" t="str">
        <f>IF('NU Levy'!$E$79&lt;&gt;0,'NU Levy'!$E$79,"  ")</f>
        <v xml:space="preserve">  </v>
      </c>
      <c r="H25" s="227" t="str">
        <f>IF('NU Levy'!E79&lt;&gt;0,ROUND(G25/$F$58*1000,3),"  ")</f>
        <v xml:space="preserve">  </v>
      </c>
    </row>
    <row r="26" spans="1:13" x14ac:dyDescent="0.25">
      <c r="A26" s="52" t="str">
        <f>IF(inputPrYr!$B30&gt;"  ",(inputPrYr!$B30),"  ")</f>
        <v xml:space="preserve">  </v>
      </c>
      <c r="B26" s="52" t="str">
        <f>IF('NU Lvy'!$C$33&gt;0,'NU Lvy'!$C$33,"  ")</f>
        <v xml:space="preserve">  </v>
      </c>
      <c r="C26" s="227" t="str">
        <f>IF(inputPrYr!D96&gt;0,inputPrYr!D96,"  ")</f>
        <v xml:space="preserve">  </v>
      </c>
      <c r="D26" s="52" t="str">
        <f>IF('NU Lvy'!$D$33&gt;0,'NU Lvy'!$D$33,"  ")</f>
        <v xml:space="preserve">  </v>
      </c>
      <c r="E26" s="227" t="str">
        <f>IF(inputOth!D35&gt;0,inputOth!D35,"  ")</f>
        <v xml:space="preserve">  </v>
      </c>
      <c r="F26" s="52" t="str">
        <f>IF('NU Lvy'!$E$33&gt;0,'NU Lvy'!$E$33,"  ")</f>
        <v xml:space="preserve">  </v>
      </c>
      <c r="G26" s="52" t="str">
        <f>IF('NU Lvy'!$E$40&lt;&gt;0,'NU Lvy'!$E$40,"  ")</f>
        <v xml:space="preserve">  </v>
      </c>
      <c r="H26" s="227" t="str">
        <f>IF('NU Lvy'!E40&lt;&gt;0,ROUND(G26/$F$58*1000,3),"  ")</f>
        <v xml:space="preserve">  </v>
      </c>
    </row>
    <row r="27" spans="1:13" x14ac:dyDescent="0.25">
      <c r="A27" s="52" t="str">
        <f>IF(inputPrYr!B31&gt;"  ",(inputPrYr!B31),"  ")</f>
        <v xml:space="preserve">  </v>
      </c>
      <c r="B27" s="52" t="str">
        <f>IF('NU Lvy'!$C$73&gt;0,'NU Lvy'!$C$73,"  ")</f>
        <v xml:space="preserve">  </v>
      </c>
      <c r="C27" s="227" t="str">
        <f>IF(inputPrYr!D97&gt;0,inputPrYr!D97,"  ")</f>
        <v xml:space="preserve">  </v>
      </c>
      <c r="D27" s="52" t="str">
        <f>IF('NU Lvy'!$D$73&gt;0,'NU Lvy'!$D$73,"  ")</f>
        <v xml:space="preserve">  </v>
      </c>
      <c r="E27" s="227" t="str">
        <f>IF(inputOth!D36&gt;0,inputOth!D36,"  ")</f>
        <v xml:space="preserve">  </v>
      </c>
      <c r="F27" s="52" t="str">
        <f>IF('NU Lvy'!$E$73&gt;0,'NU Lvy'!$E$73,"  ")</f>
        <v xml:space="preserve">  </v>
      </c>
      <c r="G27" s="52" t="str">
        <f>IF('NU Lvy'!$E$80&lt;&gt;0,'NU Lvy'!$E$80,"  ")</f>
        <v xml:space="preserve">  </v>
      </c>
      <c r="H27" s="227" t="str">
        <f>IF('NU Lvy'!E80&lt;&gt;0,ROUND(G27/$F$58*1000,3),"  ")</f>
        <v xml:space="preserve">  </v>
      </c>
      <c r="J27" s="24" t="s">
        <v>1157</v>
      </c>
      <c r="M27" s="672">
        <v>32807999.199999999</v>
      </c>
    </row>
    <row r="28" spans="1:13" x14ac:dyDescent="0.25">
      <c r="A28" s="52" t="str">
        <f>IF(inputPrYr!$B35&gt;"  ",(inputPrYr!$B35),"  ")</f>
        <v>Special Highway</v>
      </c>
      <c r="B28" s="52">
        <f>IF(SpHwy_Elec12!$C$26&gt;0,SpHwy_Elec12!$C$26,"  ")</f>
        <v>322041</v>
      </c>
      <c r="C28" s="38"/>
      <c r="D28" s="52">
        <f>IF(SpHwy_Elec12!$D$26&gt;0,SpHwy_Elec12!$D$26,"  ")</f>
        <v>842634</v>
      </c>
      <c r="E28" s="38"/>
      <c r="F28" s="52">
        <f>IF(SpHwy_Elec12!$E$26&gt;0,SpHwy_Elec12!$E$26,"  ")</f>
        <v>95000</v>
      </c>
      <c r="G28" s="52"/>
      <c r="H28" s="227"/>
      <c r="J28" s="24" t="s">
        <v>1152</v>
      </c>
    </row>
    <row r="29" spans="1:13" x14ac:dyDescent="0.25">
      <c r="A29" s="52" t="str">
        <f>IF(inputPrYr!$B36&gt;"  ",(inputPrYr!$B36),"  ")</f>
        <v>Electric Utility</v>
      </c>
      <c r="B29" s="52">
        <f>IF(SpHwy_Elec12!$C$61&gt;0,SpHwy_Elec12!$C$61,"  ")</f>
        <v>6849748</v>
      </c>
      <c r="C29" s="38"/>
      <c r="D29" s="52">
        <f>IF(SpHwy_Elec12!$D$61&gt;0,SpHwy_Elec12!$D$61,"  ")</f>
        <v>7045023</v>
      </c>
      <c r="E29" s="38"/>
      <c r="F29" s="52">
        <f>IF(SpHwy_Elec12!$E$61&gt;0,SpHwy_Elec12!$E$61,"  ")</f>
        <v>7796492</v>
      </c>
      <c r="G29" s="52"/>
      <c r="H29" s="227"/>
      <c r="K29" s="24" t="s">
        <v>993</v>
      </c>
      <c r="M29" s="672">
        <v>-1588981.99</v>
      </c>
    </row>
    <row r="30" spans="1:13" x14ac:dyDescent="0.25">
      <c r="A30" s="52" t="str">
        <f>IF(inputPrYr!$B37&gt;"  ",(inputPrYr!$B37),"  ")</f>
        <v>Water Utility</v>
      </c>
      <c r="B30" s="52">
        <f>IF(Watr_Sewr13!$C$31&gt;0,Watr_Sewr13!$C$31,"  ")</f>
        <v>1658357</v>
      </c>
      <c r="C30" s="38"/>
      <c r="D30" s="52">
        <f>IF(Watr_Sewr13!$D$31&gt;0,Watr_Sewr13!$D$31,"  ")</f>
        <v>1678989</v>
      </c>
      <c r="E30" s="38"/>
      <c r="F30" s="52">
        <f>IF(Watr_Sewr13!$E$31&gt;0,Watr_Sewr13!$E$31,"  ")</f>
        <v>1972280.24</v>
      </c>
      <c r="G30" s="52"/>
      <c r="H30" s="227"/>
      <c r="K30" s="24" t="s">
        <v>1153</v>
      </c>
      <c r="M30" s="672">
        <v>-372497.72</v>
      </c>
    </row>
    <row r="31" spans="1:13" x14ac:dyDescent="0.25">
      <c r="A31" s="52" t="str">
        <f>IF(inputPrYr!$B38&gt;"  ",(inputPrYr!$B38),"  ")</f>
        <v>Sewage Disposal Utility</v>
      </c>
      <c r="B31" s="52">
        <f>IF(Watr_Sewr13!$C$64&gt;0,Watr_Sewr13!$C$64,"  ")</f>
        <v>1426855</v>
      </c>
      <c r="C31" s="38"/>
      <c r="D31" s="52">
        <f>IF(Watr_Sewr13!$D$64&gt;0,Watr_Sewr13!$D$64,"  ")</f>
        <v>1504129</v>
      </c>
      <c r="E31" s="38"/>
      <c r="F31" s="52">
        <f>IF(Watr_Sewr13!$E$64&gt;0,Watr_Sewr13!$E$64,"  ")</f>
        <v>1702380</v>
      </c>
      <c r="G31" s="52"/>
      <c r="H31" s="227"/>
      <c r="K31" s="24" t="s">
        <v>1154</v>
      </c>
      <c r="M31" s="672">
        <v>-4532278.79</v>
      </c>
    </row>
    <row r="32" spans="1:13" x14ac:dyDescent="0.25">
      <c r="A32" s="52" t="str">
        <f>IF(inputPrYr!$B39&gt;"  ",(inputPrYr!$B39),"  ")</f>
        <v>Solid Waste Disposal Utility</v>
      </c>
      <c r="B32" s="52">
        <f>IF(Trash_CVB14!$C$29&gt;0,Trash_CVB14!$C$29,"  ")</f>
        <v>821114</v>
      </c>
      <c r="C32" s="38"/>
      <c r="D32" s="52">
        <f>IF(Trash_CVB14!$D$29&gt;0,Trash_CVB14!$D$29,"  ")</f>
        <v>893350</v>
      </c>
      <c r="E32" s="38"/>
      <c r="F32" s="52">
        <f>IF(Trash_CVB14!$E$29&gt;0,Trash_CVB14!$E$29,"  ")</f>
        <v>945458</v>
      </c>
      <c r="G32" s="38"/>
      <c r="H32" s="38"/>
      <c r="K32" s="24" t="s">
        <v>994</v>
      </c>
      <c r="M32" s="672">
        <v>-549875</v>
      </c>
    </row>
    <row r="33" spans="1:13" x14ac:dyDescent="0.25">
      <c r="A33" s="52" t="str">
        <f>IF(inputPrYr!$B40&gt;"  ",(inputPrYr!$B40),"  ")</f>
        <v>Convention/Tourism</v>
      </c>
      <c r="B33" s="52">
        <f>IF(Trash_CVB14!$C$60&gt;0,Trash_CVB14!$C$60,"  ")</f>
        <v>443525</v>
      </c>
      <c r="C33" s="38"/>
      <c r="D33" s="52">
        <f>IF(Trash_CVB14!$D$60&gt;0,Trash_CVB14!$D$60,"  ")</f>
        <v>357560</v>
      </c>
      <c r="E33" s="38"/>
      <c r="F33" s="52">
        <f>IF(Trash_CVB14!$E$60&gt;0,Trash_CVB14!$E$60,"  ")</f>
        <v>400000</v>
      </c>
      <c r="G33" s="38"/>
      <c r="H33" s="38"/>
      <c r="K33" s="24" t="s">
        <v>1155</v>
      </c>
      <c r="M33" s="673">
        <v>-1.7</v>
      </c>
    </row>
    <row r="34" spans="1:13" x14ac:dyDescent="0.25">
      <c r="A34" s="52" t="str">
        <f>IF(inputPrYr!$B41&gt;"  ",(inputPrYr!$B41),"  ")</f>
        <v>Law Enforcement Trust</v>
      </c>
      <c r="B34" s="52">
        <f>IF(SpLET_SpParks15!$C$26&gt;0,SpLET_SpParks15!$C$26,"  ")</f>
        <v>95665</v>
      </c>
      <c r="C34" s="38"/>
      <c r="D34" s="52">
        <f>IF(SpLET_SpParks15!$D$26&gt;0,SpLET_SpParks15!$D$26,"  ")</f>
        <v>115476</v>
      </c>
      <c r="E34" s="38"/>
      <c r="F34" s="52">
        <f>IF(SpLET_SpParks15!$E$26&gt;0,SpLET_SpParks15!$E$26,"  ")</f>
        <v>150770</v>
      </c>
      <c r="G34" s="38"/>
      <c r="H34" s="38"/>
      <c r="J34" s="24" t="s">
        <v>1156</v>
      </c>
      <c r="M34" s="674">
        <f>SUM(M27:M33)</f>
        <v>25764364.000000004</v>
      </c>
    </row>
    <row r="35" spans="1:13" x14ac:dyDescent="0.25">
      <c r="A35" s="52" t="str">
        <f>IF(inputPrYr!$B42&gt;"  ",(inputPrYr!$B42),"  ")</f>
        <v>Special Parks/Recreation</v>
      </c>
      <c r="B35" s="52">
        <f>IF(SpLET_SpParks15!$C$55&gt;0,SpLET_SpParks15!$C$55,"  ")</f>
        <v>35033</v>
      </c>
      <c r="C35" s="38"/>
      <c r="D35" s="52">
        <f>IF(SpLET_SpParks15!$D$55&gt;0,SpLET_SpParks15!$D$55,"  ")</f>
        <v>46015</v>
      </c>
      <c r="E35" s="38"/>
      <c r="F35" s="52">
        <f>IF(SpLET_SpParks15!$E$55&gt;0,SpLET_SpParks15!$E$55,"  ")</f>
        <v>109000</v>
      </c>
      <c r="G35" s="38"/>
      <c r="H35" s="38"/>
    </row>
    <row r="36" spans="1:13" x14ac:dyDescent="0.25">
      <c r="A36" s="52" t="str">
        <f>IF(inputPrYr!$B43&gt;"  ",(inputPrYr!$B43),"  ")</f>
        <v>E911</v>
      </c>
      <c r="B36" s="52">
        <f>IF('E911_Land Bank16'!$C$25&gt;0,'E911_Land Bank16'!$C$25,"  ")</f>
        <v>57896</v>
      </c>
      <c r="C36" s="38"/>
      <c r="D36" s="52">
        <f>IF('E911_Land Bank16'!$D$25&gt;0,'E911_Land Bank16'!$D$25,"  ")</f>
        <v>72169</v>
      </c>
      <c r="E36" s="38"/>
      <c r="F36" s="52">
        <f>IF('E911_Land Bank16'!$E$25&gt;0,'E911_Land Bank16'!$E$25,"  ")</f>
        <v>94866</v>
      </c>
      <c r="G36" s="38"/>
      <c r="H36" s="38"/>
    </row>
    <row r="37" spans="1:13" x14ac:dyDescent="0.25">
      <c r="A37" s="52" t="str">
        <f>IF(inputPrYr!$B44&gt;"  ",(inputPrYr!$B44),"  ")</f>
        <v>Colby Land Bank</v>
      </c>
      <c r="B37" s="52" t="str">
        <f>IF('E911_Land Bank16'!$C$56&gt;0,'E911_Land Bank16'!$C$56,"  ")</f>
        <v xml:space="preserve">  </v>
      </c>
      <c r="C37" s="38"/>
      <c r="D37" s="52">
        <f>IF('E911_Land Bank16'!$D$56&gt;0,'E911_Land Bank16'!$D$56,"  ")</f>
        <v>100500</v>
      </c>
      <c r="E37" s="38"/>
      <c r="F37" s="52">
        <f>IF('E911_Land Bank16'!$E$56&gt;0,'E911_Land Bank16'!$E$56,"  ")</f>
        <v>100000</v>
      </c>
      <c r="G37" s="38"/>
      <c r="H37" s="38"/>
    </row>
    <row r="38" spans="1:13" x14ac:dyDescent="0.25">
      <c r="A38" s="52" t="str">
        <f>IF(inputPrYr!$B45&gt;"  ",(inputPrYr!$B45),"  ")</f>
        <v xml:space="preserve">  </v>
      </c>
      <c r="B38" s="52" t="str">
        <f>IF('NUNo Levy Pg'!$C$26&gt;0,'NUNo Levy Pg'!$C$26,"  ")</f>
        <v xml:space="preserve">  </v>
      </c>
      <c r="C38" s="38"/>
      <c r="D38" s="52" t="str">
        <f>IF('NUNo Levy Pg'!$D$26&gt;0,'NUNo Levy Pg'!$D$26,"  ")</f>
        <v xml:space="preserve">  </v>
      </c>
      <c r="E38" s="38"/>
      <c r="F38" s="52" t="str">
        <f>IF('NUNo Levy Pg'!$E$26&gt;0,'NUNo Levy Pg'!$E$26,"  ")</f>
        <v xml:space="preserve">  </v>
      </c>
      <c r="G38" s="38"/>
      <c r="H38" s="38"/>
    </row>
    <row r="39" spans="1:13" x14ac:dyDescent="0.25">
      <c r="A39" s="52" t="str">
        <f>IF(inputPrYr!$B46&gt;"  ",(inputPrYr!$B46),"  ")</f>
        <v xml:space="preserve">  </v>
      </c>
      <c r="B39" s="52" t="str">
        <f>IF('NUNo Levy Pg'!$C$55&gt;0,'NUNo Levy Pg'!$C$55,"  ")</f>
        <v xml:space="preserve">  </v>
      </c>
      <c r="C39" s="38"/>
      <c r="D39" s="52" t="str">
        <f>IF('NUNo Levy Pg'!$D$55&gt;0,'NUNo Levy Pg'!$D$55,"  ")</f>
        <v xml:space="preserve">  </v>
      </c>
      <c r="E39" s="38"/>
      <c r="F39" s="52" t="str">
        <f>IF('NUNo Levy Pg'!$E$55&gt;0,'NUNo Levy Pg'!$E$55,"  ")</f>
        <v xml:space="preserve">  </v>
      </c>
      <c r="G39" s="38"/>
      <c r="H39" s="38"/>
    </row>
    <row r="40" spans="1:13" x14ac:dyDescent="0.25">
      <c r="A40" s="52" t="str">
        <f>IF(inputPrYr!$B47&gt;"  ",(inputPrYr!$B47),"  ")</f>
        <v xml:space="preserve">  </v>
      </c>
      <c r="B40" s="52" t="str">
        <f>IF('NUNo Levy Pag'!$C$26&gt;0,'NUNo Levy Pag'!$C$26,"  ")</f>
        <v xml:space="preserve">  </v>
      </c>
      <c r="C40" s="38"/>
      <c r="D40" s="52" t="str">
        <f>IF('NUNo Levy Pag'!$D$26&gt;0,'NUNo Levy Pag'!$D$26,"  ")</f>
        <v xml:space="preserve">  </v>
      </c>
      <c r="E40" s="38"/>
      <c r="F40" s="52" t="str">
        <f>IF('NUNo Levy Pag'!$E$26&gt;0,'NUNo Levy Pag'!$E$26,"  ")</f>
        <v xml:space="preserve">  </v>
      </c>
      <c r="G40" s="38"/>
      <c r="H40" s="38"/>
    </row>
    <row r="41" spans="1:13" x14ac:dyDescent="0.3">
      <c r="A41" s="52" t="str">
        <f>IF(inputPrYr!$B48&gt;"  ",(inputPrYr!$B48),"  ")</f>
        <v xml:space="preserve">  </v>
      </c>
      <c r="B41" s="52" t="str">
        <f>IF('NUNo Levy Pag'!$C$55&gt;0,'NUNo Levy Pag'!$C$55,"  ")</f>
        <v xml:space="preserve">  </v>
      </c>
      <c r="C41" s="38"/>
      <c r="D41" s="52" t="str">
        <f>IF('NUNo Levy Pag'!$D$55&gt;0,'NUNo Levy Pag'!$D$55,"  ")</f>
        <v xml:space="preserve">  </v>
      </c>
      <c r="E41" s="38"/>
      <c r="F41" s="52" t="str">
        <f>IF('NUNo Levy Pag'!$E$55&gt;0,'NUNo Levy Pag'!$E$55,"  ")</f>
        <v xml:space="preserve">  </v>
      </c>
      <c r="G41" s="38"/>
      <c r="H41" s="38"/>
      <c r="J41" s="783" t="str">
        <f>CONCATENATE("Estimated Value Of One Mill For ",H2,"")</f>
        <v>Estimated Value Of One Mill For 2026</v>
      </c>
      <c r="K41" s="784"/>
      <c r="L41" s="784"/>
      <c r="M41" s="785"/>
    </row>
    <row r="42" spans="1:13" x14ac:dyDescent="0.35">
      <c r="A42" s="52" t="str">
        <f>IF(inputPrYr!$B49&gt;"  ",(inputPrYr!$B49),"  ")</f>
        <v xml:space="preserve">  </v>
      </c>
      <c r="B42" s="52" t="str">
        <f>IF('NUNo Levy Page'!$C$26&gt;0,'NUNo Levy Page'!$C$26,"  ")</f>
        <v xml:space="preserve">  </v>
      </c>
      <c r="C42" s="38"/>
      <c r="D42" s="52" t="str">
        <f>IF('NUNo Levy Page'!$D$26&gt;0,'NUNo Levy Page'!$D$26,"  ")</f>
        <v xml:space="preserve">  </v>
      </c>
      <c r="E42" s="38"/>
      <c r="F42" s="52" t="str">
        <f>IF('NUNo Levy Page'!$E$26&gt;0,'NUNo Levy Page'!$E$26,"  ")</f>
        <v xml:space="preserve">  </v>
      </c>
      <c r="G42" s="38"/>
      <c r="H42" s="38"/>
      <c r="J42" s="314"/>
      <c r="K42" s="315"/>
      <c r="L42" s="315"/>
      <c r="M42" s="316"/>
    </row>
    <row r="43" spans="1:13" x14ac:dyDescent="0.35">
      <c r="A43" s="52" t="str">
        <f>IF(inputPrYr!$B50&gt;"  ",(inputPrYr!$B50),"  ")</f>
        <v xml:space="preserve">  </v>
      </c>
      <c r="B43" s="52" t="str">
        <f>IF('NUNo Levy Page'!$C$55&gt;0,'NUNo Levy Page'!$C$55,"  ")</f>
        <v xml:space="preserve">  </v>
      </c>
      <c r="C43" s="38"/>
      <c r="D43" s="52" t="str">
        <f>IF('NUNo Levy Page'!$D$55&gt;0,'NUNo Levy Page'!$D$55,"  ")</f>
        <v xml:space="preserve">  </v>
      </c>
      <c r="E43" s="38"/>
      <c r="F43" s="52" t="str">
        <f>IF('NUNo Levy Page'!$E$55&gt;0,'NUNo Levy Page'!$E$55,"  ")</f>
        <v xml:space="preserve">  </v>
      </c>
      <c r="G43" s="38"/>
      <c r="H43" s="38"/>
      <c r="J43" s="317" t="s">
        <v>340</v>
      </c>
      <c r="K43" s="318"/>
      <c r="L43" s="318"/>
      <c r="M43" s="500">
        <f>ROUND(F58/1000,0)</f>
        <v>65330</v>
      </c>
    </row>
    <row r="44" spans="1:13" x14ac:dyDescent="0.25">
      <c r="A44" s="52" t="str">
        <f>IF(inputPrYr!$B52&gt;"  ",(inputPrYr!$B52),"  ")</f>
        <v xml:space="preserve">  </v>
      </c>
      <c r="B44" s="52" t="str">
        <f>IF('NUSingle No Levy'!$C$44&gt;0,'NUSingle No Levy'!$C$44,"  ")</f>
        <v xml:space="preserve">  </v>
      </c>
      <c r="C44" s="38"/>
      <c r="D44" s="52" t="str">
        <f>IF('NUSingle No Levy'!$D$44&gt;0,'NUSingle No Levy'!$D$44,"  ")</f>
        <v xml:space="preserve">  </v>
      </c>
      <c r="E44" s="38"/>
      <c r="F44" s="52" t="str">
        <f>IF('NUSingle No Levy'!$E$44&gt;0,'NUSingle No Levy'!$E$44,"  ")</f>
        <v xml:space="preserve">  </v>
      </c>
      <c r="G44" s="38"/>
      <c r="H44" s="38"/>
    </row>
    <row r="45" spans="1:13" x14ac:dyDescent="0.3">
      <c r="A45" s="52" t="str">
        <f>IF(inputPrYr!$B53&gt;"  ",(inputPrYr!$B53),"  ")</f>
        <v xml:space="preserve">  </v>
      </c>
      <c r="B45" s="52" t="str">
        <f>IF('NUSingle NoLevy'!$C$44&gt;0,'NUSingle NoLevy'!$C$44,"  ")</f>
        <v xml:space="preserve">  </v>
      </c>
      <c r="C45" s="38"/>
      <c r="D45" s="52" t="str">
        <f>IF('NUSingle NoLevy'!$D$44&gt;0,'NUSingle NoLevy'!$D$44,"  ")</f>
        <v xml:space="preserve">  </v>
      </c>
      <c r="E45" s="38"/>
      <c r="F45" s="52" t="str">
        <f>IF('NUSingle NoLevy'!$E$44&gt;0,'NUSingle NoLevy'!$E$44,"  ")</f>
        <v xml:space="preserve">  </v>
      </c>
      <c r="G45" s="38"/>
      <c r="H45" s="38"/>
      <c r="J45" s="783" t="str">
        <f>CONCATENATE("Want The Mill Rate The Same As For ",H2-1,"?")</f>
        <v>Want The Mill Rate The Same As For 2025?</v>
      </c>
      <c r="K45" s="784"/>
      <c r="L45" s="784"/>
      <c r="M45" s="785"/>
    </row>
    <row r="46" spans="1:13" x14ac:dyDescent="0.35">
      <c r="A46" s="52" t="str">
        <f>IF(inputPrYr!$B54&gt;"  ",(inputPrYr!$B54),"  ")</f>
        <v xml:space="preserve">  </v>
      </c>
      <c r="B46" s="52" t="str">
        <f>IF('NUSingle NoLvy'!$C$44&gt;0,'NUSingle NoLvy'!$C$44,"  ")</f>
        <v xml:space="preserve">  </v>
      </c>
      <c r="C46" s="38"/>
      <c r="D46" s="52" t="str">
        <f>IF('NUSingle NoLvy'!$D$44&gt;0,'NUSingle NoLvy'!$D$44,"  ")</f>
        <v xml:space="preserve">  </v>
      </c>
      <c r="E46" s="38"/>
      <c r="F46" s="52" t="str">
        <f>IF('NUSingle NoLvy'!$E$44&gt;0,'NUSingle NoLvy'!$E$44,"  ")</f>
        <v xml:space="preserve">  </v>
      </c>
      <c r="G46" s="38"/>
      <c r="H46" s="38"/>
      <c r="J46" s="321"/>
      <c r="K46" s="315"/>
      <c r="L46" s="315"/>
      <c r="M46" s="322"/>
    </row>
    <row r="47" spans="1:13" x14ac:dyDescent="0.35">
      <c r="A47" s="52" t="str">
        <f>IF(inputPrYr!$B55&gt;"  ",(inputPrYr!$B55),"  ")</f>
        <v xml:space="preserve">  </v>
      </c>
      <c r="B47" s="52" t="str">
        <f>IF('NUSingle NLevy'!$C$44&gt;0,'NUSingle NLevy'!$C$44,"  ")</f>
        <v xml:space="preserve">  </v>
      </c>
      <c r="C47" s="38"/>
      <c r="D47" s="52" t="str">
        <f>IF('NUSingle NLevy'!$D$44&gt;0,'NUSingle NLevy'!$D$44,"  ")</f>
        <v xml:space="preserve">  </v>
      </c>
      <c r="E47" s="38"/>
      <c r="F47" s="52" t="str">
        <f>IF('NUSingle NLevy'!$E$44&gt;0,'NUSingle NLevy'!$E$44,"  ")</f>
        <v xml:space="preserve">  </v>
      </c>
      <c r="G47" s="38"/>
      <c r="H47" s="38"/>
      <c r="J47" s="321" t="str">
        <f>CONCATENATE("",H2-1," Mill Rate Was:")</f>
        <v>2025 Mill Rate Was:</v>
      </c>
      <c r="K47" s="315"/>
      <c r="L47" s="315"/>
      <c r="M47" s="323">
        <f>E52</f>
        <v>34.4</v>
      </c>
    </row>
    <row r="48" spans="1:13" x14ac:dyDescent="0.35">
      <c r="A48" s="52" t="str">
        <f>IF(inputPrYr!$B58&gt;"  ",(CIRF_MERF_FP_GWTP_GP17!$A3),"  ")</f>
        <v>Non-Budgeted Funds-A</v>
      </c>
      <c r="B48" s="52">
        <f>IF(CIRF_MERF_FP_GWTP_GP17!$K$29&gt;0,CIRF_MERF_FP_GWTP_GP17!$K$29,"  ")</f>
        <v>3193342</v>
      </c>
      <c r="C48" s="38"/>
      <c r="D48" s="52"/>
      <c r="E48" s="38"/>
      <c r="F48" s="52"/>
      <c r="G48" s="38"/>
      <c r="H48" s="38"/>
      <c r="J48" s="324" t="str">
        <f>CONCATENATE("",H2," Tax Levy Fund Expenditures Must Be")</f>
        <v>2026 Tax Levy Fund Expenditures Must Be</v>
      </c>
      <c r="K48" s="325"/>
      <c r="L48" s="325"/>
      <c r="M48" s="322"/>
    </row>
    <row r="49" spans="1:14" x14ac:dyDescent="0.35">
      <c r="A49" s="52" t="str">
        <f>IF(inputPrYr!$B64&gt;"  ",(RiskMgmt18!$A3),"  ")</f>
        <v>Non-Budgeted Funds-B</v>
      </c>
      <c r="B49" s="52" t="str">
        <f>IF(RiskMgmt18!$K$28&gt;0,RiskMgmt18!$K$28,"  ")</f>
        <v xml:space="preserve">  </v>
      </c>
      <c r="C49" s="38"/>
      <c r="D49" s="52"/>
      <c r="E49" s="38"/>
      <c r="F49" s="52"/>
      <c r="G49" s="38"/>
      <c r="H49" s="38"/>
      <c r="J49" s="324" t="str">
        <f>IF(M49&gt;0,"Increased By:","")</f>
        <v>Increased By:</v>
      </c>
      <c r="K49" s="325"/>
      <c r="L49" s="325"/>
      <c r="M49" s="363">
        <f>IF(M56&lt;0,M56*-1,0)</f>
        <v>0.46999999973922968</v>
      </c>
    </row>
    <row r="50" spans="1:14" x14ac:dyDescent="0.25">
      <c r="A50" s="52" t="str">
        <f>IF(inputPrYr!$B70&gt;"  ",('NUNon-Budgeted Funds C'!$A3),"  ")</f>
        <v xml:space="preserve">  </v>
      </c>
      <c r="B50" s="52" t="str">
        <f>IF('NUNon-Budgeted Funds C'!$K$28&gt;0,'NUNon-Budgeted Funds C'!$K$28,"  ")</f>
        <v xml:space="preserve">  </v>
      </c>
      <c r="C50" s="38"/>
      <c r="D50" s="52"/>
      <c r="E50" s="38"/>
      <c r="F50" s="52"/>
      <c r="G50" s="38"/>
      <c r="H50" s="38"/>
      <c r="J50" s="364" t="str">
        <f>IF(M50&lt;0,"Reduced By:","")</f>
        <v/>
      </c>
      <c r="K50" s="365"/>
      <c r="L50" s="365"/>
      <c r="M50" s="366">
        <f>IF(M56&gt;0,M56*-1,0)</f>
        <v>0</v>
      </c>
    </row>
    <row r="51" spans="1:14" ht="16" thickBot="1" x14ac:dyDescent="0.4">
      <c r="A51" s="52" t="str">
        <f>IF(inputPrYr!$B76&gt;"  ",('NUNon-Budgeted Funds D'!$A3),"  ")</f>
        <v xml:space="preserve">  </v>
      </c>
      <c r="B51" s="332" t="str">
        <f>IF('NUNon-Budgeted Funds D'!$K$28&gt;0,'NUNon-Budgeted Funds D'!$K$28,"  ")</f>
        <v xml:space="preserve">  </v>
      </c>
      <c r="C51" s="333"/>
      <c r="D51" s="332"/>
      <c r="E51" s="333"/>
      <c r="F51" s="332"/>
      <c r="G51" s="333"/>
      <c r="H51" s="333"/>
      <c r="J51" s="320"/>
      <c r="K51" s="320"/>
      <c r="L51" s="320"/>
      <c r="M51" s="320"/>
    </row>
    <row r="52" spans="1:14" ht="16" thickBot="1" x14ac:dyDescent="0.35">
      <c r="A52" s="577" t="s">
        <v>349</v>
      </c>
      <c r="B52" s="578">
        <f>SUM(B15:B51)</f>
        <v>23647668</v>
      </c>
      <c r="C52" s="579">
        <f>SUM(C15:C27)</f>
        <v>33.525999999999996</v>
      </c>
      <c r="D52" s="578">
        <f>SUM(D15:D51)</f>
        <v>21700953</v>
      </c>
      <c r="E52" s="579">
        <f>SUM(E15:E27)</f>
        <v>34.4</v>
      </c>
      <c r="F52" s="675">
        <f>SUM(F15:F51)</f>
        <v>25575263.239999998</v>
      </c>
      <c r="G52" s="578">
        <f>SUM(G15:G51)</f>
        <v>2247354.5300000003</v>
      </c>
      <c r="H52" s="579">
        <f>SUM(H15:H27)</f>
        <v>34.4</v>
      </c>
      <c r="J52" s="783" t="str">
        <f>CONCATENATE("Impact On Keeping The Same Mill Rate As For ",H2-1,"")</f>
        <v>Impact On Keeping The Same Mill Rate As For 2025</v>
      </c>
      <c r="K52" s="790"/>
      <c r="L52" s="790"/>
      <c r="M52" s="791"/>
    </row>
    <row r="53" spans="1:14" ht="16" thickTop="1" x14ac:dyDescent="0.35">
      <c r="A53" s="800" t="s">
        <v>561</v>
      </c>
      <c r="B53" s="801"/>
      <c r="C53" s="801"/>
      <c r="D53" s="801"/>
      <c r="E53" s="801"/>
      <c r="F53" s="801"/>
      <c r="G53" s="802"/>
      <c r="H53" s="576">
        <f>inputOth!D20</f>
        <v>33.582999999999998</v>
      </c>
      <c r="I53" s="329"/>
      <c r="J53" s="321"/>
      <c r="K53" s="315"/>
      <c r="L53" s="315"/>
      <c r="M53" s="322"/>
    </row>
    <row r="54" spans="1:14" x14ac:dyDescent="0.35">
      <c r="A54" s="29" t="s">
        <v>80</v>
      </c>
      <c r="B54" s="297">
        <f>Transfers!D41</f>
        <v>5323963</v>
      </c>
      <c r="C54" s="358"/>
      <c r="D54" s="297">
        <f>Transfers!E41</f>
        <v>3827337</v>
      </c>
      <c r="E54" s="240"/>
      <c r="F54" s="297">
        <f>Transfers!F41</f>
        <v>4089455</v>
      </c>
      <c r="G54" s="356"/>
      <c r="H54" s="240"/>
      <c r="J54" s="321" t="str">
        <f>CONCATENATE("",H2," Ad Valorem Tax Revenue:")</f>
        <v>2026 Ad Valorem Tax Revenue:</v>
      </c>
      <c r="K54" s="315"/>
      <c r="L54" s="315"/>
      <c r="M54" s="316">
        <f>G52</f>
        <v>2247354.5300000003</v>
      </c>
    </row>
    <row r="55" spans="1:14" ht="16" thickBot="1" x14ac:dyDescent="0.4">
      <c r="A55" s="29" t="s">
        <v>81</v>
      </c>
      <c r="B55" s="237">
        <f>B52-B54</f>
        <v>18323705</v>
      </c>
      <c r="C55" s="28"/>
      <c r="D55" s="237">
        <f>D52-D54</f>
        <v>17873616</v>
      </c>
      <c r="E55" s="28"/>
      <c r="F55" s="237">
        <f>F52-F54</f>
        <v>21485808.239999998</v>
      </c>
      <c r="G55" s="28"/>
      <c r="H55" s="28"/>
      <c r="J55" s="321" t="str">
        <f>CONCATENATE("",H2-1," Ad Valorem Tax Revenue:")</f>
        <v>2025 Ad Valorem Tax Revenue:</v>
      </c>
      <c r="K55" s="315"/>
      <c r="L55" s="315"/>
      <c r="M55" s="328">
        <f>ROUND(F58*M47/1000,0)</f>
        <v>2247355</v>
      </c>
    </row>
    <row r="56" spans="1:14" ht="16" thickTop="1" x14ac:dyDescent="0.35">
      <c r="A56" s="29" t="s">
        <v>82</v>
      </c>
      <c r="B56" s="297">
        <f>inputPrYr!$E$100</f>
        <v>2008416</v>
      </c>
      <c r="C56" s="47"/>
      <c r="D56" s="297">
        <f>inputPrYr!$E$32</f>
        <v>2159733</v>
      </c>
      <c r="E56" s="47"/>
      <c r="F56" s="228" t="s">
        <v>49</v>
      </c>
      <c r="G56" s="28"/>
      <c r="H56" s="28"/>
      <c r="J56" s="326" t="s">
        <v>341</v>
      </c>
      <c r="K56" s="327"/>
      <c r="L56" s="327"/>
      <c r="M56" s="319">
        <f>SUM(M54-M55)</f>
        <v>-0.46999999973922968</v>
      </c>
    </row>
    <row r="57" spans="1:14" x14ac:dyDescent="0.35">
      <c r="A57" s="29" t="s">
        <v>83</v>
      </c>
      <c r="B57" s="114"/>
      <c r="C57" s="28"/>
      <c r="D57" s="298"/>
      <c r="E57" s="115"/>
      <c r="F57" s="95"/>
      <c r="G57" s="28"/>
      <c r="H57" s="28"/>
      <c r="J57" s="320"/>
      <c r="K57" s="320"/>
      <c r="L57" s="320"/>
      <c r="M57" s="320"/>
    </row>
    <row r="58" spans="1:14" x14ac:dyDescent="0.3">
      <c r="A58" s="29" t="s">
        <v>84</v>
      </c>
      <c r="B58" s="297">
        <f>inputPrYr!$E$101</f>
        <v>60585208</v>
      </c>
      <c r="C58" s="28"/>
      <c r="D58" s="297">
        <f>inputOth!$E$39</f>
        <v>63771164</v>
      </c>
      <c r="E58" s="28"/>
      <c r="F58" s="297">
        <f>inputOth!$E$7</f>
        <v>65330073</v>
      </c>
      <c r="G58" s="28"/>
      <c r="H58" s="28"/>
      <c r="J58" s="783" t="s">
        <v>342</v>
      </c>
      <c r="K58" s="788"/>
      <c r="L58" s="788"/>
      <c r="M58" s="789"/>
    </row>
    <row r="59" spans="1:14" x14ac:dyDescent="0.35">
      <c r="A59" s="29" t="s">
        <v>85</v>
      </c>
      <c r="B59" s="28"/>
      <c r="C59" s="28"/>
      <c r="D59" s="28"/>
      <c r="E59" s="28"/>
      <c r="F59" s="28"/>
      <c r="G59" s="28"/>
      <c r="H59" s="28"/>
      <c r="J59" s="321"/>
      <c r="K59" s="315"/>
      <c r="L59" s="315"/>
      <c r="M59" s="322"/>
    </row>
    <row r="60" spans="1:14" ht="13.5" customHeight="1" x14ac:dyDescent="0.35">
      <c r="A60" s="29" t="s">
        <v>86</v>
      </c>
      <c r="B60" s="229">
        <f>$H$2-3</f>
        <v>2023</v>
      </c>
      <c r="C60" s="28"/>
      <c r="D60" s="229">
        <f>$H$2-2</f>
        <v>2024</v>
      </c>
      <c r="E60" s="28"/>
      <c r="F60" s="229">
        <f>$H$2-1</f>
        <v>2025</v>
      </c>
      <c r="G60" s="28"/>
      <c r="H60" s="28"/>
      <c r="J60" s="321" t="str">
        <f>CONCATENATE("Current ",H2," Estimated Mill Rate:")</f>
        <v>Current 2026 Estimated Mill Rate:</v>
      </c>
      <c r="K60" s="315"/>
      <c r="L60" s="315"/>
      <c r="M60" s="323">
        <f>H52</f>
        <v>34.4</v>
      </c>
      <c r="N60" s="668" t="s">
        <v>1151</v>
      </c>
    </row>
    <row r="61" spans="1:14" x14ac:dyDescent="0.35">
      <c r="A61" s="29" t="s">
        <v>87</v>
      </c>
      <c r="B61" s="153">
        <f>inputPrYr!$D$105</f>
        <v>10166000</v>
      </c>
      <c r="C61" s="109"/>
      <c r="D61" s="153">
        <f>inputPrYr!$E$105</f>
        <v>9457000</v>
      </c>
      <c r="E61" s="109"/>
      <c r="F61" s="153">
        <f>Debt!$G$20</f>
        <v>8717000</v>
      </c>
      <c r="G61" s="28"/>
      <c r="H61" s="28"/>
      <c r="J61" s="321" t="str">
        <f>CONCATENATE("Desired ",H2," Mill Rate:")</f>
        <v>Desired 2026 Mill Rate:</v>
      </c>
      <c r="K61" s="315"/>
      <c r="L61" s="315"/>
      <c r="M61" s="313">
        <v>33.582500000000003</v>
      </c>
      <c r="N61" s="671">
        <v>33.866</v>
      </c>
    </row>
    <row r="62" spans="1:14" ht="18.75" customHeight="1" x14ac:dyDescent="0.35">
      <c r="A62" s="29" t="s">
        <v>88</v>
      </c>
      <c r="B62" s="297">
        <f>inputPrYr!$D$106</f>
        <v>0</v>
      </c>
      <c r="C62" s="109"/>
      <c r="D62" s="297">
        <f>inputPrYr!$E$106</f>
        <v>0</v>
      </c>
      <c r="E62" s="109"/>
      <c r="F62" s="153">
        <f>Debt!$G$32</f>
        <v>0</v>
      </c>
      <c r="G62" s="28"/>
      <c r="H62" s="28"/>
      <c r="J62" s="321" t="str">
        <f>CONCATENATE("",H2," Ad Valorem Tax:")</f>
        <v>2026 Ad Valorem Tax:</v>
      </c>
      <c r="K62" s="315"/>
      <c r="L62" s="315"/>
      <c r="M62" s="328">
        <f>ROUND(F58*M61/1000,0)</f>
        <v>2193947</v>
      </c>
      <c r="N62" s="670">
        <f>N61*M43</f>
        <v>2212465.7799999998</v>
      </c>
    </row>
    <row r="63" spans="1:14" ht="18.75" customHeight="1" x14ac:dyDescent="0.35">
      <c r="A63" s="28" t="s">
        <v>106</v>
      </c>
      <c r="B63" s="297">
        <f>inputPrYr!$D$107</f>
        <v>2345741</v>
      </c>
      <c r="C63" s="109"/>
      <c r="D63" s="297">
        <f>inputPrYr!$E$107</f>
        <v>1849268</v>
      </c>
      <c r="E63" s="109"/>
      <c r="F63" s="153">
        <f>Debt!$G$42</f>
        <v>1338947</v>
      </c>
      <c r="G63" s="28"/>
      <c r="H63" s="28"/>
      <c r="J63" s="326" t="str">
        <f>CONCATENATE("",H2," Tax Levy Fund Exp. Changed By:")</f>
        <v>2026 Tax Levy Fund Exp. Changed By:</v>
      </c>
      <c r="K63" s="327"/>
      <c r="L63" s="327"/>
      <c r="M63" s="319">
        <f>IF(M61=0,0,(M62-G52))</f>
        <v>-53407.530000000261</v>
      </c>
      <c r="N63" s="669">
        <v>52735</v>
      </c>
    </row>
    <row r="64" spans="1:14" ht="18.75" customHeight="1" x14ac:dyDescent="0.25">
      <c r="A64" s="29" t="s">
        <v>140</v>
      </c>
      <c r="B64" s="297">
        <f>inputPrYr!$D$108</f>
        <v>553518</v>
      </c>
      <c r="C64" s="109"/>
      <c r="D64" s="297">
        <f>inputPrYr!$E$108</f>
        <v>422001</v>
      </c>
      <c r="E64" s="109"/>
      <c r="F64" s="153">
        <f>'LP Form'!$G$28</f>
        <v>286918</v>
      </c>
      <c r="G64" s="28"/>
      <c r="H64" s="28"/>
    </row>
    <row r="65" spans="1:13" ht="18.75" customHeight="1" thickBot="1" x14ac:dyDescent="0.3">
      <c r="A65" s="29" t="s">
        <v>89</v>
      </c>
      <c r="B65" s="359">
        <f>SUM(B61:B64)</f>
        <v>13065259</v>
      </c>
      <c r="C65" s="109"/>
      <c r="D65" s="359">
        <f>SUM(D61:D64)</f>
        <v>11728269</v>
      </c>
      <c r="E65" s="109"/>
      <c r="F65" s="359">
        <f>SUM(F61:F64)</f>
        <v>10342865</v>
      </c>
      <c r="G65" s="28"/>
      <c r="H65" s="28"/>
      <c r="J65" s="803" t="s">
        <v>710</v>
      </c>
      <c r="K65" s="804"/>
      <c r="L65" s="804"/>
      <c r="M65" s="796" t="str">
        <f>IF(H52&gt;H53, "Yes", "No")</f>
        <v>Yes</v>
      </c>
    </row>
    <row r="66" spans="1:13" ht="16" thickTop="1" x14ac:dyDescent="0.25">
      <c r="A66" s="29" t="s">
        <v>90</v>
      </c>
      <c r="B66" s="28"/>
      <c r="C66" s="28"/>
      <c r="D66" s="28"/>
      <c r="E66" s="28"/>
      <c r="F66" s="28"/>
      <c r="G66" s="28"/>
      <c r="H66" s="28"/>
      <c r="J66" s="805"/>
      <c r="K66" s="806"/>
      <c r="L66" s="806"/>
      <c r="M66" s="797"/>
    </row>
    <row r="67" spans="1:13" x14ac:dyDescent="0.25">
      <c r="A67" s="547" t="s">
        <v>702</v>
      </c>
      <c r="B67" s="28"/>
      <c r="C67" s="28"/>
      <c r="D67" s="28"/>
      <c r="E67" s="28"/>
      <c r="F67" s="28"/>
      <c r="G67" s="28"/>
      <c r="H67" s="28"/>
      <c r="J67" s="768" t="str">
        <f>IF(M65="Yes", "Follow procedure prescirbed by KSA 79-2988 to exceed the Revenue Neutral Rate.", " ")</f>
        <v>Follow procedure prescirbed by KSA 79-2988 to exceed the Revenue Neutral Rate.</v>
      </c>
      <c r="K67" s="768"/>
      <c r="L67" s="768"/>
      <c r="M67" s="768"/>
    </row>
    <row r="68" spans="1:13" x14ac:dyDescent="0.25">
      <c r="A68" s="28"/>
      <c r="B68" s="28"/>
      <c r="C68" s="28"/>
      <c r="D68" s="28"/>
      <c r="E68" s="28"/>
      <c r="F68" s="28"/>
      <c r="G68" s="28"/>
      <c r="H68" s="28"/>
      <c r="J68" s="769"/>
      <c r="K68" s="769"/>
      <c r="L68" s="769"/>
      <c r="M68" s="769"/>
    </row>
    <row r="69" spans="1:13" x14ac:dyDescent="0.25">
      <c r="A69" s="787">
        <f>inputHearing!B14</f>
        <v>0</v>
      </c>
      <c r="B69" s="787"/>
      <c r="C69" s="28"/>
      <c r="D69" s="28"/>
      <c r="E69" s="28"/>
      <c r="F69" s="28"/>
      <c r="G69" s="28"/>
      <c r="H69" s="28"/>
      <c r="J69" s="769"/>
      <c r="K69" s="769"/>
      <c r="L69" s="769"/>
      <c r="M69" s="769"/>
    </row>
    <row r="70" spans="1:13" x14ac:dyDescent="0.25">
      <c r="A70" s="107" t="s">
        <v>166</v>
      </c>
      <c r="B70" s="371">
        <f>inputHearing!B16</f>
        <v>0</v>
      </c>
      <c r="C70" s="28"/>
      <c r="D70" s="28"/>
      <c r="E70" s="28"/>
      <c r="F70" s="28"/>
      <c r="G70" s="28"/>
      <c r="H70" s="28"/>
    </row>
    <row r="71" spans="1:13" x14ac:dyDescent="0.25">
      <c r="A71" s="28"/>
      <c r="B71" s="28"/>
      <c r="C71" s="28"/>
      <c r="D71" s="28"/>
      <c r="E71" s="28"/>
      <c r="F71" s="28"/>
      <c r="G71" s="28"/>
      <c r="H71" s="28"/>
    </row>
    <row r="72" spans="1:13" x14ac:dyDescent="0.25">
      <c r="A72" s="28"/>
      <c r="B72" s="28"/>
      <c r="C72" s="80" t="s">
        <v>66</v>
      </c>
      <c r="D72" s="465">
        <v>19</v>
      </c>
      <c r="E72" s="28"/>
      <c r="F72" s="28"/>
      <c r="G72" s="28"/>
      <c r="H72" s="28"/>
    </row>
  </sheetData>
  <mergeCells count="22">
    <mergeCell ref="M65:M66"/>
    <mergeCell ref="F13:F14"/>
    <mergeCell ref="G13:G14"/>
    <mergeCell ref="H13:H14"/>
    <mergeCell ref="A53:G53"/>
    <mergeCell ref="J65:L66"/>
    <mergeCell ref="J67:M69"/>
    <mergeCell ref="A1:H1"/>
    <mergeCell ref="A4:H4"/>
    <mergeCell ref="A6:H6"/>
    <mergeCell ref="A7:H7"/>
    <mergeCell ref="A3:H3"/>
    <mergeCell ref="J41:M41"/>
    <mergeCell ref="A5:H5"/>
    <mergeCell ref="A69:B69"/>
    <mergeCell ref="J58:M58"/>
    <mergeCell ref="J52:M52"/>
    <mergeCell ref="J45:M45"/>
    <mergeCell ref="B13:B14"/>
    <mergeCell ref="C13:C14"/>
    <mergeCell ref="D13:D14"/>
    <mergeCell ref="E13:E14"/>
  </mergeCells>
  <phoneticPr fontId="0" type="noConversion"/>
  <conditionalFormatting sqref="M65:M66">
    <cfRule type="containsText" dxfId="1" priority="1" operator="containsText" text="Yes">
      <formula>NOT(ISERROR(SEARCH("Yes",M65)))</formula>
    </cfRule>
  </conditionalFormatting>
  <printOptions horizontalCentered="1"/>
  <pageMargins left="1" right="0.5" top="0.25" bottom="0" header="0.5" footer="0.5"/>
  <pageSetup scale="50" orientation="landscape" blackAndWhite="1" r:id="rId1"/>
  <headerFooter alignWithMargins="0">
    <oddHeader>&amp;RState of Kansas
City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7DD4D-B686-4AAD-97F7-F1C1DC63DA9C}">
  <sheetPr codeName="Sheet4">
    <pageSetUpPr fitToPage="1"/>
  </sheetPr>
  <dimension ref="A1:N49"/>
  <sheetViews>
    <sheetView zoomScale="80" zoomScaleNormal="80" workbookViewId="0">
      <selection activeCell="B32" sqref="B32:E32"/>
    </sheetView>
  </sheetViews>
  <sheetFormatPr defaultRowHeight="15.5" x14ac:dyDescent="0.35"/>
  <cols>
    <col min="1" max="1" width="17.25" customWidth="1"/>
    <col min="2" max="2" width="16.08203125" customWidth="1"/>
    <col min="8" max="8" width="12.6640625" style="1" customWidth="1"/>
    <col min="9" max="9" width="12.4140625" style="1" customWidth="1"/>
    <col min="10" max="11" width="8.9140625" style="1"/>
  </cols>
  <sheetData>
    <row r="1" spans="1:14" ht="12.5" x14ac:dyDescent="0.25">
      <c r="A1" s="710" t="s">
        <v>670</v>
      </c>
      <c r="B1" s="710"/>
      <c r="C1" s="710"/>
      <c r="D1" s="710"/>
      <c r="E1" s="710"/>
      <c r="F1" s="710"/>
      <c r="H1" s="702" t="s">
        <v>671</v>
      </c>
      <c r="I1" s="702"/>
      <c r="J1" s="702"/>
      <c r="K1" s="702"/>
    </row>
    <row r="2" spans="1:14" ht="20.25" customHeight="1" x14ac:dyDescent="0.25">
      <c r="A2" s="710"/>
      <c r="B2" s="710"/>
      <c r="C2" s="710"/>
      <c r="D2" s="710"/>
      <c r="E2" s="710"/>
      <c r="F2" s="710"/>
      <c r="H2" s="702"/>
      <c r="I2" s="702"/>
      <c r="J2" s="702"/>
      <c r="K2" s="702"/>
    </row>
    <row r="3" spans="1:14" ht="18" customHeight="1" x14ac:dyDescent="0.25">
      <c r="A3" s="711" t="s">
        <v>672</v>
      </c>
      <c r="B3" s="711"/>
      <c r="C3" s="711"/>
      <c r="D3" s="711"/>
      <c r="E3" s="711"/>
      <c r="F3" s="711"/>
      <c r="H3" s="247" t="s">
        <v>343</v>
      </c>
      <c r="I3" s="703" t="s">
        <v>344</v>
      </c>
      <c r="J3" s="704"/>
      <c r="K3" s="705"/>
    </row>
    <row r="4" spans="1:14" ht="18" customHeight="1" x14ac:dyDescent="0.35">
      <c r="A4" s="711"/>
      <c r="B4" s="711"/>
      <c r="C4" s="711"/>
      <c r="D4" s="711"/>
      <c r="E4" s="711"/>
      <c r="F4" s="711"/>
      <c r="H4" s="247"/>
      <c r="I4" s="247"/>
    </row>
    <row r="5" spans="1:14" ht="18" customHeight="1" x14ac:dyDescent="0.25">
      <c r="A5" s="711"/>
      <c r="B5" s="711"/>
      <c r="C5" s="711"/>
      <c r="D5" s="711"/>
      <c r="E5" s="711"/>
      <c r="F5" s="711"/>
      <c r="H5" s="247" t="s">
        <v>277</v>
      </c>
      <c r="I5" s="703" t="s">
        <v>673</v>
      </c>
      <c r="J5" s="704"/>
      <c r="K5" s="705"/>
    </row>
    <row r="6" spans="1:14" ht="18" customHeight="1" x14ac:dyDescent="0.35">
      <c r="A6" s="711"/>
      <c r="B6" s="711"/>
      <c r="C6" s="711"/>
      <c r="D6" s="711"/>
      <c r="E6" s="711"/>
      <c r="F6" s="711"/>
      <c r="H6" s="247"/>
      <c r="I6" s="247"/>
    </row>
    <row r="7" spans="1:14" ht="18" customHeight="1" x14ac:dyDescent="0.25">
      <c r="A7" s="711"/>
      <c r="B7" s="711"/>
      <c r="C7" s="711"/>
      <c r="D7" s="711"/>
      <c r="E7" s="711"/>
      <c r="F7" s="711"/>
      <c r="H7" s="247" t="s">
        <v>278</v>
      </c>
      <c r="I7" s="703" t="s">
        <v>281</v>
      </c>
      <c r="J7" s="704"/>
      <c r="K7" s="705"/>
    </row>
    <row r="8" spans="1:14" ht="18" customHeight="1" x14ac:dyDescent="0.35">
      <c r="A8" s="711"/>
      <c r="B8" s="711"/>
      <c r="C8" s="711"/>
      <c r="D8" s="711"/>
      <c r="E8" s="711"/>
      <c r="F8" s="711"/>
      <c r="H8" s="247"/>
      <c r="I8" s="247"/>
    </row>
    <row r="9" spans="1:14" ht="18" customHeight="1" x14ac:dyDescent="0.25">
      <c r="A9" s="711"/>
      <c r="B9" s="711"/>
      <c r="C9" s="711"/>
      <c r="D9" s="711"/>
      <c r="E9" s="711"/>
      <c r="F9" s="711"/>
      <c r="H9" s="247" t="s">
        <v>279</v>
      </c>
      <c r="I9" s="703" t="s">
        <v>282</v>
      </c>
      <c r="J9" s="704"/>
      <c r="K9" s="705"/>
    </row>
    <row r="10" spans="1:14" ht="18" customHeight="1" x14ac:dyDescent="0.35">
      <c r="A10" s="711"/>
      <c r="B10" s="711"/>
      <c r="C10" s="711"/>
      <c r="D10" s="711"/>
      <c r="E10" s="711"/>
      <c r="F10" s="711"/>
      <c r="H10" s="247"/>
      <c r="I10" s="247"/>
    </row>
    <row r="11" spans="1:14" ht="18" customHeight="1" x14ac:dyDescent="0.25">
      <c r="A11" s="711"/>
      <c r="B11" s="711"/>
      <c r="C11" s="711"/>
      <c r="D11" s="711"/>
      <c r="E11" s="711"/>
      <c r="F11" s="711"/>
      <c r="H11" s="247" t="s">
        <v>280</v>
      </c>
      <c r="I11" s="703" t="s">
        <v>282</v>
      </c>
      <c r="J11" s="704"/>
      <c r="K11" s="705"/>
    </row>
    <row r="12" spans="1:14" ht="18" customHeight="1" x14ac:dyDescent="0.35">
      <c r="A12" s="711"/>
      <c r="B12" s="711"/>
      <c r="C12" s="711"/>
      <c r="D12" s="711"/>
      <c r="E12" s="711"/>
      <c r="F12" s="711"/>
    </row>
    <row r="13" spans="1:14" ht="21" customHeight="1" x14ac:dyDescent="0.4">
      <c r="A13" s="702" t="s">
        <v>674</v>
      </c>
      <c r="B13" s="702"/>
      <c r="C13" s="702"/>
      <c r="D13" s="702"/>
      <c r="E13" s="702"/>
      <c r="F13" s="702"/>
      <c r="G13" s="702"/>
      <c r="H13" s="702"/>
      <c r="I13" s="702"/>
      <c r="J13" s="702"/>
      <c r="K13" s="702"/>
      <c r="M13" s="563"/>
      <c r="N13" s="563"/>
    </row>
    <row r="14" spans="1:14" x14ac:dyDescent="0.35">
      <c r="A14" s="564" t="s">
        <v>419</v>
      </c>
      <c r="B14" s="703"/>
      <c r="C14" s="704"/>
      <c r="D14" s="704"/>
      <c r="E14" s="705"/>
      <c r="H14" s="706" t="s">
        <v>675</v>
      </c>
      <c r="I14" s="706"/>
      <c r="J14" s="706"/>
      <c r="K14" s="706"/>
    </row>
    <row r="15" spans="1:14" x14ac:dyDescent="0.35">
      <c r="A15" s="564"/>
      <c r="B15" s="565"/>
      <c r="C15" s="566"/>
      <c r="D15" s="566"/>
      <c r="E15" s="566"/>
      <c r="H15" s="706"/>
      <c r="I15" s="706"/>
      <c r="J15" s="706"/>
      <c r="K15" s="706"/>
    </row>
    <row r="16" spans="1:14" x14ac:dyDescent="0.35">
      <c r="A16" s="564" t="s">
        <v>343</v>
      </c>
      <c r="B16" s="703"/>
      <c r="C16" s="704"/>
      <c r="D16" s="704"/>
      <c r="E16" s="705"/>
      <c r="H16" s="706"/>
      <c r="I16" s="706"/>
      <c r="J16" s="706"/>
      <c r="K16" s="706"/>
    </row>
    <row r="17" spans="1:13" ht="16" x14ac:dyDescent="0.4">
      <c r="A17" s="567"/>
      <c r="B17" s="568"/>
      <c r="C17" s="568"/>
      <c r="D17" s="566"/>
      <c r="E17" s="568"/>
      <c r="F17" s="246"/>
      <c r="H17" s="706"/>
      <c r="I17" s="706"/>
      <c r="J17" s="706"/>
      <c r="K17" s="706"/>
    </row>
    <row r="18" spans="1:13" ht="16" x14ac:dyDescent="0.4">
      <c r="A18" s="569" t="s">
        <v>277</v>
      </c>
      <c r="B18" s="703"/>
      <c r="C18" s="704"/>
      <c r="D18" s="704"/>
      <c r="E18" s="705"/>
      <c r="F18" s="246"/>
      <c r="H18" s="706"/>
      <c r="I18" s="706"/>
      <c r="J18" s="706"/>
      <c r="K18" s="706"/>
    </row>
    <row r="19" spans="1:13" ht="16" x14ac:dyDescent="0.4">
      <c r="A19" s="570" t="s">
        <v>676</v>
      </c>
      <c r="B19" s="566"/>
      <c r="C19" s="566"/>
      <c r="D19" s="247"/>
      <c r="E19" s="568"/>
      <c r="F19" s="246"/>
      <c r="H19" s="706"/>
      <c r="I19" s="706"/>
      <c r="J19" s="706"/>
      <c r="K19" s="706"/>
    </row>
    <row r="20" spans="1:13" ht="16" x14ac:dyDescent="0.4">
      <c r="A20" s="569" t="s">
        <v>278</v>
      </c>
      <c r="B20" s="703"/>
      <c r="C20" s="704"/>
      <c r="D20" s="704"/>
      <c r="E20" s="705"/>
      <c r="F20" s="246"/>
      <c r="H20" s="706"/>
      <c r="I20" s="706"/>
      <c r="J20" s="706"/>
      <c r="K20" s="706"/>
    </row>
    <row r="21" spans="1:13" ht="16" x14ac:dyDescent="0.4">
      <c r="A21" s="569"/>
      <c r="B21" s="247"/>
      <c r="C21" s="247"/>
      <c r="D21" s="247"/>
      <c r="E21" s="568"/>
      <c r="F21" s="246"/>
      <c r="H21" s="706"/>
      <c r="I21" s="706"/>
      <c r="J21" s="706"/>
      <c r="K21" s="706"/>
    </row>
    <row r="22" spans="1:13" ht="16" x14ac:dyDescent="0.4">
      <c r="A22" s="569" t="s">
        <v>279</v>
      </c>
      <c r="B22" s="707"/>
      <c r="C22" s="708"/>
      <c r="D22" s="708"/>
      <c r="E22" s="709"/>
      <c r="F22" s="246"/>
      <c r="H22" s="706"/>
      <c r="I22" s="706"/>
      <c r="J22" s="706"/>
      <c r="K22" s="706"/>
    </row>
    <row r="23" spans="1:13" ht="16" x14ac:dyDescent="0.4">
      <c r="A23" s="569"/>
      <c r="B23" s="247"/>
      <c r="C23" s="247"/>
      <c r="D23" s="247"/>
      <c r="E23" s="568"/>
      <c r="F23" s="246"/>
      <c r="H23" s="706"/>
      <c r="I23" s="706"/>
      <c r="J23" s="706"/>
      <c r="K23" s="706"/>
    </row>
    <row r="24" spans="1:13" ht="16" x14ac:dyDescent="0.4">
      <c r="A24" s="569" t="s">
        <v>677</v>
      </c>
      <c r="B24" s="707"/>
      <c r="C24" s="708"/>
      <c r="D24" s="708"/>
      <c r="E24" s="709"/>
      <c r="F24" s="246"/>
      <c r="H24" s="706"/>
      <c r="I24" s="706"/>
      <c r="J24" s="706"/>
      <c r="K24" s="706"/>
    </row>
    <row r="27" spans="1:13" ht="21" customHeight="1" x14ac:dyDescent="0.25">
      <c r="A27" s="702" t="s">
        <v>678</v>
      </c>
      <c r="B27" s="702"/>
      <c r="C27" s="702"/>
      <c r="D27" s="702"/>
      <c r="E27" s="702"/>
      <c r="F27" s="702"/>
      <c r="G27" s="702"/>
      <c r="H27" s="702"/>
      <c r="I27" s="702"/>
      <c r="J27" s="702"/>
      <c r="K27" s="702"/>
    </row>
    <row r="28" spans="1:13" ht="15.75" customHeight="1" x14ac:dyDescent="0.35">
      <c r="A28" s="564" t="s">
        <v>419</v>
      </c>
      <c r="B28" s="703" t="s">
        <v>1000</v>
      </c>
      <c r="C28" s="704"/>
      <c r="D28" s="704"/>
      <c r="E28" s="705"/>
      <c r="H28" s="706" t="s">
        <v>679</v>
      </c>
      <c r="I28" s="706"/>
      <c r="J28" s="706"/>
      <c r="K28" s="706"/>
      <c r="M28" t="s">
        <v>680</v>
      </c>
    </row>
    <row r="29" spans="1:13" x14ac:dyDescent="0.35">
      <c r="A29" s="564"/>
      <c r="B29" s="565"/>
      <c r="H29" s="706"/>
      <c r="I29" s="706"/>
      <c r="J29" s="706"/>
      <c r="K29" s="706"/>
    </row>
    <row r="30" spans="1:13" x14ac:dyDescent="0.35">
      <c r="A30" s="564" t="s">
        <v>343</v>
      </c>
      <c r="B30" s="703" t="s">
        <v>1001</v>
      </c>
      <c r="C30" s="704"/>
      <c r="D30" s="704"/>
      <c r="E30" s="705"/>
      <c r="H30" s="706"/>
      <c r="I30" s="706"/>
      <c r="J30" s="706"/>
      <c r="K30" s="706"/>
    </row>
    <row r="31" spans="1:13" ht="16" x14ac:dyDescent="0.4">
      <c r="A31" s="567"/>
      <c r="B31" s="246"/>
      <c r="C31" s="246"/>
      <c r="E31" s="246"/>
      <c r="F31" s="246"/>
      <c r="H31" s="706"/>
      <c r="I31" s="706"/>
      <c r="J31" s="706"/>
      <c r="K31" s="706"/>
    </row>
    <row r="32" spans="1:13" ht="16" x14ac:dyDescent="0.4">
      <c r="A32" s="569" t="s">
        <v>277</v>
      </c>
      <c r="B32" s="703" t="s">
        <v>1002</v>
      </c>
      <c r="C32" s="704"/>
      <c r="D32" s="704"/>
      <c r="E32" s="705"/>
      <c r="F32" s="246"/>
      <c r="H32" s="706"/>
      <c r="I32" s="706"/>
      <c r="J32" s="706"/>
      <c r="K32" s="706"/>
    </row>
    <row r="33" spans="1:11" ht="16" x14ac:dyDescent="0.4">
      <c r="A33" s="570" t="s">
        <v>676</v>
      </c>
      <c r="D33" s="247"/>
      <c r="E33" s="246"/>
      <c r="F33" s="246"/>
      <c r="H33" s="706"/>
      <c r="I33" s="706"/>
      <c r="J33" s="706"/>
      <c r="K33" s="706"/>
    </row>
    <row r="34" spans="1:11" ht="16" x14ac:dyDescent="0.4">
      <c r="A34" s="569" t="s">
        <v>278</v>
      </c>
      <c r="B34" s="703" t="s">
        <v>1003</v>
      </c>
      <c r="C34" s="704"/>
      <c r="D34" s="704"/>
      <c r="E34" s="705"/>
      <c r="F34" s="246"/>
      <c r="H34" s="706"/>
      <c r="I34" s="706"/>
      <c r="J34" s="706"/>
      <c r="K34" s="706"/>
    </row>
    <row r="35" spans="1:11" ht="16" x14ac:dyDescent="0.4">
      <c r="A35" s="569"/>
      <c r="B35" s="247"/>
      <c r="C35" s="247"/>
      <c r="D35" s="247"/>
      <c r="E35" s="246"/>
      <c r="F35" s="246"/>
      <c r="H35" s="706"/>
      <c r="I35" s="706"/>
      <c r="J35" s="706"/>
      <c r="K35" s="706"/>
    </row>
    <row r="36" spans="1:11" ht="16" x14ac:dyDescent="0.4">
      <c r="A36" s="569" t="s">
        <v>279</v>
      </c>
      <c r="B36" s="707" t="s">
        <v>1007</v>
      </c>
      <c r="C36" s="708"/>
      <c r="D36" s="708"/>
      <c r="E36" s="709"/>
      <c r="F36" s="246"/>
      <c r="H36" s="706"/>
      <c r="I36" s="706"/>
      <c r="J36" s="706"/>
      <c r="K36" s="706"/>
    </row>
    <row r="37" spans="1:11" ht="16" x14ac:dyDescent="0.4">
      <c r="A37" s="569"/>
      <c r="B37" s="247"/>
      <c r="C37" s="247"/>
      <c r="D37" s="247"/>
      <c r="E37" s="246"/>
      <c r="F37" s="246"/>
      <c r="H37" s="706"/>
      <c r="I37" s="706"/>
      <c r="J37" s="706"/>
      <c r="K37" s="706"/>
    </row>
    <row r="38" spans="1:11" ht="16" x14ac:dyDescent="0.4">
      <c r="A38" s="569" t="s">
        <v>677</v>
      </c>
      <c r="B38" s="707" t="s">
        <v>282</v>
      </c>
      <c r="C38" s="708"/>
      <c r="D38" s="708"/>
      <c r="E38" s="709"/>
      <c r="F38" s="246"/>
      <c r="H38" s="706"/>
      <c r="I38" s="706"/>
      <c r="J38" s="706"/>
      <c r="K38" s="706"/>
    </row>
    <row r="39" spans="1:11" ht="15.75" customHeight="1" x14ac:dyDescent="0.25">
      <c r="H39" s="706"/>
      <c r="I39" s="706"/>
      <c r="J39" s="706"/>
      <c r="K39" s="706"/>
    </row>
    <row r="41" spans="1:11" ht="21" customHeight="1" x14ac:dyDescent="0.25">
      <c r="A41" s="702" t="s">
        <v>681</v>
      </c>
      <c r="B41" s="702"/>
      <c r="C41" s="702"/>
      <c r="D41" s="702"/>
      <c r="E41" s="702"/>
      <c r="F41" s="702"/>
      <c r="G41" s="702"/>
      <c r="H41" s="702"/>
      <c r="I41" s="702"/>
      <c r="J41" s="702"/>
      <c r="K41" s="702"/>
    </row>
    <row r="42" spans="1:11" ht="15.75" customHeight="1" x14ac:dyDescent="0.4">
      <c r="A42" s="569" t="s">
        <v>277</v>
      </c>
      <c r="B42" s="703"/>
      <c r="C42" s="704"/>
      <c r="D42" s="704"/>
      <c r="E42" s="705"/>
      <c r="F42" s="246"/>
      <c r="H42" s="706" t="s">
        <v>682</v>
      </c>
      <c r="I42" s="706"/>
      <c r="J42" s="706"/>
      <c r="K42" s="706"/>
    </row>
    <row r="43" spans="1:11" ht="16" x14ac:dyDescent="0.4">
      <c r="A43" s="570" t="s">
        <v>676</v>
      </c>
      <c r="B43" s="566"/>
      <c r="C43" s="566"/>
      <c r="D43" s="247"/>
      <c r="E43" s="568"/>
      <c r="F43" s="246"/>
      <c r="H43" s="706"/>
      <c r="I43" s="706"/>
      <c r="J43" s="706"/>
      <c r="K43" s="706"/>
    </row>
    <row r="44" spans="1:11" ht="16" x14ac:dyDescent="0.4">
      <c r="A44" s="569" t="s">
        <v>278</v>
      </c>
      <c r="B44" s="703"/>
      <c r="C44" s="704"/>
      <c r="D44" s="704"/>
      <c r="E44" s="705"/>
      <c r="F44" s="246"/>
      <c r="H44" s="706"/>
      <c r="I44" s="706"/>
      <c r="J44" s="706"/>
      <c r="K44" s="706"/>
    </row>
    <row r="45" spans="1:11" ht="16" x14ac:dyDescent="0.4">
      <c r="A45" s="569"/>
      <c r="B45" s="247"/>
      <c r="C45" s="247"/>
      <c r="D45" s="247"/>
      <c r="E45" s="568"/>
      <c r="F45" s="246"/>
      <c r="H45" s="706"/>
      <c r="I45" s="706"/>
      <c r="J45" s="706"/>
      <c r="K45" s="706"/>
    </row>
    <row r="46" spans="1:11" ht="16" x14ac:dyDescent="0.4">
      <c r="A46" s="569" t="s">
        <v>279</v>
      </c>
      <c r="B46" s="707"/>
      <c r="C46" s="708"/>
      <c r="D46" s="708"/>
      <c r="E46" s="709"/>
      <c r="F46" s="246"/>
      <c r="H46" s="706"/>
      <c r="I46" s="706"/>
      <c r="J46" s="706"/>
      <c r="K46" s="706"/>
    </row>
    <row r="47" spans="1:11" ht="15.75" customHeight="1" x14ac:dyDescent="0.25">
      <c r="H47" s="706"/>
      <c r="I47" s="706"/>
      <c r="J47" s="706"/>
      <c r="K47" s="706"/>
    </row>
    <row r="48" spans="1:11" ht="15.75" customHeight="1" x14ac:dyDescent="0.25">
      <c r="H48" s="706"/>
      <c r="I48" s="706"/>
      <c r="J48" s="706"/>
      <c r="K48" s="706"/>
    </row>
    <row r="49" spans="8:11" ht="15.75" customHeight="1" x14ac:dyDescent="0.25">
      <c r="H49" s="706"/>
      <c r="I49" s="706"/>
      <c r="J49" s="706"/>
      <c r="K49" s="706"/>
    </row>
  </sheetData>
  <sheetProtection sheet="1" objects="1" scenarios="1"/>
  <mergeCells count="29">
    <mergeCell ref="A1:F2"/>
    <mergeCell ref="H1:K2"/>
    <mergeCell ref="A3:F12"/>
    <mergeCell ref="I3:K3"/>
    <mergeCell ref="I5:K5"/>
    <mergeCell ref="I7:K7"/>
    <mergeCell ref="I9:K9"/>
    <mergeCell ref="I11:K11"/>
    <mergeCell ref="A13:K13"/>
    <mergeCell ref="B14:E14"/>
    <mergeCell ref="H14:K24"/>
    <mergeCell ref="B16:E16"/>
    <mergeCell ref="B18:E18"/>
    <mergeCell ref="B20:E20"/>
    <mergeCell ref="B22:E22"/>
    <mergeCell ref="B24:E24"/>
    <mergeCell ref="A27:K27"/>
    <mergeCell ref="B28:E28"/>
    <mergeCell ref="H28:K39"/>
    <mergeCell ref="B30:E30"/>
    <mergeCell ref="B32:E32"/>
    <mergeCell ref="B34:E34"/>
    <mergeCell ref="B36:E36"/>
    <mergeCell ref="B38:E38"/>
    <mergeCell ref="A41:K41"/>
    <mergeCell ref="B42:E42"/>
    <mergeCell ref="H42:K49"/>
    <mergeCell ref="B44:E44"/>
    <mergeCell ref="B46:E46"/>
  </mergeCells>
  <pageMargins left="0.7" right="0.7" top="0.75" bottom="0.75" header="0.3" footer="0.3"/>
  <pageSetup scale="51"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248A-9BBC-4C8E-A158-3C8C486585A1}">
  <sheetPr>
    <tabColor rgb="FFFF3399"/>
  </sheetPr>
  <dimension ref="A1"/>
  <sheetViews>
    <sheetView workbookViewId="0">
      <selection activeCell="M52" sqref="M52"/>
    </sheetView>
  </sheetViews>
  <sheetFormatPr defaultRowHeight="12.5" x14ac:dyDescent="0.25"/>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7E28-D501-4DA8-9367-6EE7861D875D}">
  <sheetPr codeName="Sheet39">
    <tabColor rgb="FFFDD571"/>
    <pageSetUpPr fitToPage="1"/>
  </sheetPr>
  <dimension ref="A1:N72"/>
  <sheetViews>
    <sheetView topLeftCell="A51" zoomScale="90" zoomScaleNormal="90" workbookViewId="0">
      <selection activeCell="A72" sqref="A1:M72"/>
    </sheetView>
  </sheetViews>
  <sheetFormatPr defaultColWidth="8.9140625" defaultRowHeight="15.5" x14ac:dyDescent="0.25"/>
  <cols>
    <col min="1" max="1" width="20.75" style="24" customWidth="1"/>
    <col min="2" max="2" width="15.75" style="24" customWidth="1"/>
    <col min="3" max="3" width="8.75" style="24" customWidth="1"/>
    <col min="4" max="4" width="15.75" style="24" customWidth="1"/>
    <col min="5" max="5" width="9.08203125" style="24" customWidth="1"/>
    <col min="6" max="6" width="14.6640625" style="24" customWidth="1"/>
    <col min="7" max="7" width="12.75" style="24" customWidth="1"/>
    <col min="8" max="8" width="10.08203125" style="24" customWidth="1"/>
    <col min="9" max="9" width="8.9140625" style="24"/>
    <col min="10" max="10" width="12.4140625" style="24" customWidth="1"/>
    <col min="11" max="11" width="12.33203125" style="24" customWidth="1"/>
    <col min="12" max="12" width="10.58203125" style="24" customWidth="1"/>
    <col min="13" max="13" width="13.25" style="24" customWidth="1"/>
    <col min="14" max="16384" width="8.9140625" style="24"/>
  </cols>
  <sheetData>
    <row r="1" spans="1:9" x14ac:dyDescent="0.25">
      <c r="A1" s="781" t="s">
        <v>718</v>
      </c>
      <c r="B1" s="781"/>
      <c r="C1" s="781"/>
      <c r="D1" s="781"/>
      <c r="E1" s="781"/>
      <c r="F1" s="781"/>
      <c r="G1" s="781"/>
      <c r="H1" s="781"/>
      <c r="I1" s="225"/>
    </row>
    <row r="2" spans="1:9" ht="18" customHeight="1" x14ac:dyDescent="0.25">
      <c r="A2" s="28"/>
      <c r="B2" s="28"/>
      <c r="C2" s="28"/>
      <c r="D2" s="28"/>
      <c r="E2" s="28"/>
      <c r="F2" s="28"/>
      <c r="G2" s="28"/>
      <c r="H2" s="28">
        <f>inputPrYr!$C$6</f>
        <v>2026</v>
      </c>
    </row>
    <row r="3" spans="1:9" ht="18" customHeight="1" x14ac:dyDescent="0.25">
      <c r="A3" s="714" t="s">
        <v>76</v>
      </c>
      <c r="B3" s="714"/>
      <c r="C3" s="714"/>
      <c r="D3" s="714"/>
      <c r="E3" s="714"/>
      <c r="F3" s="714"/>
      <c r="G3" s="714"/>
      <c r="H3" s="714"/>
    </row>
    <row r="4" spans="1:9" x14ac:dyDescent="0.25">
      <c r="A4" s="685" t="str">
        <f>inputPrYr!D3</f>
        <v>The City of Colby</v>
      </c>
      <c r="B4" s="685"/>
      <c r="C4" s="685"/>
      <c r="D4" s="685"/>
      <c r="E4" s="685"/>
      <c r="F4" s="685"/>
      <c r="G4" s="685"/>
      <c r="H4" s="685"/>
    </row>
    <row r="5" spans="1:9" ht="18" customHeight="1" x14ac:dyDescent="0.35">
      <c r="A5" s="786" t="str">
        <f>CONCATENATE("will meet on ",inputHearing!B32," at ",inputHearing!B34," at ",inputHearing!B36," for the purpose of hearing and")</f>
        <v>will meet on Tuesday, September 2, 2025 at 5:30 p.m. at the City Hall Council Chambers for the purpose of hearing and</v>
      </c>
      <c r="B5" s="786"/>
      <c r="C5" s="786"/>
      <c r="D5" s="786"/>
      <c r="E5" s="786"/>
      <c r="F5" s="786"/>
      <c r="G5" s="786"/>
      <c r="H5" s="786"/>
    </row>
    <row r="6" spans="1:9" ht="16.5" customHeight="1" x14ac:dyDescent="0.25">
      <c r="A6" s="714" t="s">
        <v>306</v>
      </c>
      <c r="B6" s="714"/>
      <c r="C6" s="714"/>
      <c r="D6" s="714"/>
      <c r="E6" s="714"/>
      <c r="F6" s="714"/>
      <c r="G6" s="714"/>
      <c r="H6" s="714"/>
    </row>
    <row r="7" spans="1:9" ht="16.5" customHeight="1" x14ac:dyDescent="0.25">
      <c r="A7" s="782" t="str">
        <f>CONCATENATE("Detailed budget information is available at ",inputHearing!B38," and will be available at this hearing.")</f>
        <v>Detailed budget information is available at City Hall and will be available at this hearing.</v>
      </c>
      <c r="B7" s="782"/>
      <c r="C7" s="782"/>
      <c r="D7" s="782"/>
      <c r="E7" s="782"/>
      <c r="F7" s="782"/>
      <c r="G7" s="782"/>
      <c r="H7" s="782"/>
    </row>
    <row r="8" spans="1:9" x14ac:dyDescent="0.25">
      <c r="A8" s="32" t="s">
        <v>117</v>
      </c>
      <c r="B8" s="33"/>
      <c r="C8" s="33"/>
      <c r="D8" s="33"/>
      <c r="E8" s="33"/>
      <c r="F8" s="33"/>
      <c r="G8" s="33"/>
      <c r="H8" s="33"/>
    </row>
    <row r="9" spans="1:9" x14ac:dyDescent="0.25">
      <c r="A9" s="81" t="str">
        <f>CONCATENATE("Proposed Budget ",H2," Expenditures and Amount of ",H2-1," Ad Valorem Tax establish the maximum limits of the ",H2," budget.")</f>
        <v>Proposed Budget 2026 Expenditures and Amount of 2025 Ad Valorem Tax establish the maximum limits of the 2026 budget.</v>
      </c>
      <c r="B9" s="33"/>
      <c r="C9" s="33"/>
      <c r="D9" s="33"/>
      <c r="E9" s="33"/>
      <c r="F9" s="33"/>
      <c r="G9" s="33"/>
      <c r="H9" s="33"/>
    </row>
    <row r="10" spans="1:9" x14ac:dyDescent="0.25">
      <c r="A10" s="81" t="s">
        <v>139</v>
      </c>
      <c r="B10" s="33"/>
      <c r="C10" s="33"/>
      <c r="D10" s="33"/>
      <c r="E10" s="33"/>
      <c r="F10" s="33"/>
      <c r="G10" s="33"/>
      <c r="H10" s="33"/>
    </row>
    <row r="11" spans="1:9" x14ac:dyDescent="0.25">
      <c r="A11" s="28"/>
      <c r="B11" s="194"/>
      <c r="C11" s="194"/>
      <c r="D11" s="194"/>
      <c r="E11" s="194"/>
      <c r="F11" s="194"/>
      <c r="G11" s="194"/>
      <c r="H11" s="194"/>
    </row>
    <row r="12" spans="1:9" x14ac:dyDescent="0.25">
      <c r="A12" s="28"/>
      <c r="B12" s="226" t="str">
        <f>CONCATENATE("Prior Year Actual for ",H2-2,"")</f>
        <v>Prior Year Actual for 2024</v>
      </c>
      <c r="C12" s="84"/>
      <c r="D12" s="226" t="str">
        <f>CONCATENATE("Current Year Estimate for ",H2-1,"")</f>
        <v>Current Year Estimate for 2025</v>
      </c>
      <c r="E12" s="84"/>
      <c r="F12" s="82" t="str">
        <f>CONCATENATE("Proposed Budget Year for ",H2,"")</f>
        <v>Proposed Budget Year for 2026</v>
      </c>
      <c r="G12" s="83"/>
      <c r="H12" s="84"/>
    </row>
    <row r="13" spans="1:9" ht="29.25" customHeight="1" x14ac:dyDescent="0.25">
      <c r="A13" s="28"/>
      <c r="B13" s="792" t="s">
        <v>79</v>
      </c>
      <c r="C13" s="794" t="s">
        <v>704</v>
      </c>
      <c r="D13" s="792" t="s">
        <v>79</v>
      </c>
      <c r="E13" s="794" t="s">
        <v>704</v>
      </c>
      <c r="F13" s="798" t="s">
        <v>703</v>
      </c>
      <c r="G13" s="794" t="str">
        <f>CONCATENATE("Amount of ",H2-1," Ad Valorem Tax")</f>
        <v>Amount of 2025 Ad Valorem Tax</v>
      </c>
      <c r="H13" s="794" t="s">
        <v>705</v>
      </c>
    </row>
    <row r="14" spans="1:9" ht="16.5" customHeight="1" x14ac:dyDescent="0.25">
      <c r="A14" s="52" t="s">
        <v>78</v>
      </c>
      <c r="B14" s="793"/>
      <c r="C14" s="795"/>
      <c r="D14" s="793"/>
      <c r="E14" s="795"/>
      <c r="F14" s="799"/>
      <c r="G14" s="795"/>
      <c r="H14" s="795"/>
    </row>
    <row r="15" spans="1:9" x14ac:dyDescent="0.25">
      <c r="A15" s="52" t="str">
        <f>inputPrYr!B18</f>
        <v>General</v>
      </c>
      <c r="B15" s="52">
        <f>IF(General7a!$C$102&lt;&gt;0,General7a!$C$102,"  ")</f>
        <v>4427076</v>
      </c>
      <c r="C15" s="227">
        <f>IF(inputPrYr!D85&gt;0,inputPrYr!D85,"  ")</f>
        <v>12.6</v>
      </c>
      <c r="D15" s="52">
        <f>IF(General7a!$D$102&lt;&gt;0,General7a!$D$102,"  ")</f>
        <v>4989413</v>
      </c>
      <c r="E15" s="227">
        <f>IF(inputOth!D24&gt;0,inputOth!D24,"  ")</f>
        <v>13.518000000000001</v>
      </c>
      <c r="F15" s="52">
        <f>IF(General7a!$E$102&lt;&gt;0,General7a!$E$102,"  ")</f>
        <v>5363826</v>
      </c>
      <c r="G15" s="52">
        <f>IF(General7a!$E$109&lt;&gt;0,General7a!$E$109,"  ")</f>
        <v>862737.53000000026</v>
      </c>
      <c r="H15" s="227">
        <f>IF(General7a!E109&gt;0,ROUND(G15/$F$58*1000,3),"")</f>
        <v>13.206</v>
      </c>
    </row>
    <row r="16" spans="1:9" x14ac:dyDescent="0.25">
      <c r="A16" s="52" t="str">
        <f>inputPrYr!B19</f>
        <v>Debt Service</v>
      </c>
      <c r="B16" s="52">
        <f>IF('DebtSvs-Library8'!C34&lt;&gt;0,'DebtSvs-Library8'!C34,"  ")</f>
        <v>1160203</v>
      </c>
      <c r="C16" s="227" t="str">
        <f>IF(inputPrYr!D86&gt;0,inputPrYr!D86,"  ")</f>
        <v xml:space="preserve">  </v>
      </c>
      <c r="D16" s="52">
        <f>IF('DebtSvs-Library8'!D34&lt;&gt;0,'DebtSvs-Library8'!D34,"  ")</f>
        <v>1197660</v>
      </c>
      <c r="E16" s="227" t="str">
        <f>IF(inputOth!D25&gt;0,inputOth!D25,"  ")</f>
        <v xml:space="preserve">  </v>
      </c>
      <c r="F16" s="52">
        <f>IF('DebtSvs-Library8'!E34&lt;&gt;0,'DebtSvs-Library8'!E34,"  ")</f>
        <v>1339423</v>
      </c>
      <c r="G16" s="52" t="str">
        <f>IF('DebtSvs-Library8'!E41&lt;&gt;0,'DebtSvs-Library8'!E41,"  ")</f>
        <v xml:space="preserve">  </v>
      </c>
      <c r="H16" s="227" t="str">
        <f>IF('DebtSvs-Library8'!E41&gt;0,ROUND(G16/$F$58*1000,3),"  ")</f>
        <v xml:space="preserve">  </v>
      </c>
    </row>
    <row r="17" spans="1:13" x14ac:dyDescent="0.25">
      <c r="A17" s="52" t="str">
        <f>IF(inputPrYr!$B20&gt;"  ",(inputPrYr!$B20),"  ")</f>
        <v>Library</v>
      </c>
      <c r="B17" s="52">
        <f>IF('DebtSvs-Library8'!C74&lt;&gt;0,'DebtSvs-Library8'!C74,"  ")</f>
        <v>343396</v>
      </c>
      <c r="C17" s="227">
        <f>IF(inputPrYr!D87&gt;0,inputPrYr!D87,"  ")</f>
        <v>5.4059999999999997</v>
      </c>
      <c r="D17" s="52">
        <f>IF('DebtSvs-Library8'!D74&lt;&gt;0,'DebtSvs-Library8'!D74,"  ")</f>
        <v>348133</v>
      </c>
      <c r="E17" s="227">
        <f>IF(inputOth!D26&gt;0,inputOth!D26,"  ")</f>
        <v>5.3460000000000001</v>
      </c>
      <c r="F17" s="52">
        <f>IF('DebtSvs-Library8'!E74&lt;&gt;0,'DebtSvs-Library8'!E74,"  ")</f>
        <v>360989</v>
      </c>
      <c r="G17" s="52">
        <f>IF('DebtSvs-Library8'!E81&lt;&gt;0,'DebtSvs-Library8'!E81,"  ")</f>
        <v>336952</v>
      </c>
      <c r="H17" s="227">
        <f>IF('DebtSvs-Library8'!E81&lt;&gt;0,ROUND(G17/$F$58*1000,3),"  ")</f>
        <v>5.1580000000000004</v>
      </c>
    </row>
    <row r="18" spans="1:13" x14ac:dyDescent="0.25">
      <c r="A18" s="52" t="str">
        <f>IF(inputPrYr!$B22&gt;"  ",(inputPrYr!$B22),"  ")</f>
        <v>Recreation</v>
      </c>
      <c r="B18" s="52">
        <f>IF('Rec-NoxWds9'!$C$33&gt;0,'Rec-NoxWds9'!$C$33,"  ")</f>
        <v>385493</v>
      </c>
      <c r="C18" s="227">
        <f>IF(inputPrYr!D88&gt;0,inputPrYr!D88,"  ")</f>
        <v>3.2440000000000002</v>
      </c>
      <c r="D18" s="52">
        <f>IF('Rec-NoxWds9'!$D$33&gt;0,'Rec-NoxWds9'!$D$33,"  ")</f>
        <v>368943</v>
      </c>
      <c r="E18" s="227">
        <f>IF(inputOth!D27&gt;0,inputOth!D27,"  ")</f>
        <v>3.19</v>
      </c>
      <c r="F18" s="52">
        <f>IF('Rec-NoxWds9'!$E$33&gt;0,'Rec-NoxWds9'!$E$33,"  ")</f>
        <v>392048</v>
      </c>
      <c r="G18" s="52">
        <f>IF('Rec-NoxWds9'!$E$40&lt;&gt;0,'Rec-NoxWds9'!$E$40,"  ")</f>
        <v>195990</v>
      </c>
      <c r="H18" s="227">
        <f>IF('Rec-NoxWds9'!E40&lt;&gt;0,ROUND(G18/$F$58*1000,3),"  ")</f>
        <v>3</v>
      </c>
    </row>
    <row r="19" spans="1:13" x14ac:dyDescent="0.25">
      <c r="A19" s="52" t="str">
        <f>IF(inputPrYr!$B23&gt;"  ",(inputPrYr!$B23),"  ")</f>
        <v>Noxious Weeds</v>
      </c>
      <c r="B19" s="52">
        <f>IF('Rec-NoxWds9'!$C$73&gt;0,'Rec-NoxWds9'!$C$73,"  ")</f>
        <v>6592</v>
      </c>
      <c r="C19" s="227">
        <f>IF(inputPrYr!D89&gt;0,inputPrYr!D89,"  ")</f>
        <v>9.0999999999999998E-2</v>
      </c>
      <c r="D19" s="52">
        <f>IF('Rec-NoxWds9'!$D$73&gt;0,'Rec-NoxWds9'!$D$73,"  ")</f>
        <v>17000</v>
      </c>
      <c r="E19" s="227">
        <f>IF(inputOth!D28&gt;0,inputOth!D28,"  ")</f>
        <v>0.11799999999999999</v>
      </c>
      <c r="F19" s="52">
        <f>IF('Rec-NoxWds9'!$E$73&gt;0,'Rec-NoxWds9'!$E$73,"  ")</f>
        <v>20000</v>
      </c>
      <c r="G19" s="52">
        <f>IF('Rec-NoxWds9'!$E$80&lt;&gt;0,'Rec-NoxWds9'!$E$80,"  ")</f>
        <v>15390</v>
      </c>
      <c r="H19" s="227">
        <f>IF('Rec-NoxWds9'!E80&lt;&gt;0,ROUND(G19/$F$58*1000,3),"  ")</f>
        <v>0.23599999999999999</v>
      </c>
    </row>
    <row r="20" spans="1:13" x14ac:dyDescent="0.25">
      <c r="A20" s="52" t="str">
        <f>IF(inputPrYr!$B24&gt;"  ",(inputPrYr!$B24),"  ")</f>
        <v>Special Fire/Police</v>
      </c>
      <c r="B20" s="52">
        <f>IF('SpFire-SpLiab10'!$C$33&gt;0,'SpFire-SpLiab10'!$C$33,"  ")</f>
        <v>110597</v>
      </c>
      <c r="C20" s="227">
        <f>IF(inputPrYr!D90&gt;0,inputPrYr!D90,"  ")</f>
        <v>0.80600000000000005</v>
      </c>
      <c r="D20" s="52">
        <f>IF('SpFire-SpLiab10'!$D$33&gt;0,'SpFire-SpLiab10'!$D$33,"  ")</f>
        <v>97716</v>
      </c>
      <c r="E20" s="227">
        <f>IF(inputOth!D29&gt;0,inputOth!D29,"  ")</f>
        <v>0.81899999999999995</v>
      </c>
      <c r="F20" s="52">
        <f>IF('SpFire-SpLiab10'!$E$33&gt;0,'SpFire-SpLiab10'!$E$33,"  ")</f>
        <v>191200</v>
      </c>
      <c r="G20" s="52">
        <f>IF('SpFire-SpLiab10'!$E$40&lt;&gt;0,'SpFire-SpLiab10'!$E$40,"  ")</f>
        <v>129732</v>
      </c>
      <c r="H20" s="227">
        <f>IF('SpFire-SpLiab10'!E40&lt;&gt;0,ROUND(G20/$F$58*1000,3),"  ")</f>
        <v>1.986</v>
      </c>
    </row>
    <row r="21" spans="1:13" x14ac:dyDescent="0.25">
      <c r="A21" s="52" t="str">
        <f>IF(inputPrYr!$B25&gt;"  ",(inputPrYr!$B25),"  ")</f>
        <v>Special Liability</v>
      </c>
      <c r="B21" s="52">
        <f>IF('SpFire-SpLiab10'!$C$72&gt;0,'SpFire-SpLiab10'!$C$72,"  ")</f>
        <v>48259</v>
      </c>
      <c r="C21" s="227">
        <f>IF(inputPrYr!D91&gt;0,inputPrYr!D91,"  ")</f>
        <v>0.47</v>
      </c>
      <c r="D21" s="52">
        <f>IF('SpFire-SpLiab10'!$D$72&gt;0,'SpFire-SpLiab10'!$D$72,"  ")</f>
        <v>50468</v>
      </c>
      <c r="E21" s="227">
        <f>IF(inputOth!D30&gt;0,inputOth!D30,"  ")</f>
        <v>0.96199999999999997</v>
      </c>
      <c r="F21" s="52">
        <f>IF('SpFire-SpLiab10'!$E$72&gt;0,'SpFire-SpLiab10'!$E$72,"  ")</f>
        <v>67919</v>
      </c>
      <c r="G21" s="52">
        <f>IF('SpFire-SpLiab10'!$E$79&lt;&gt;0,'SpFire-SpLiab10'!$E$79,"  ")</f>
        <v>46153</v>
      </c>
      <c r="H21" s="227">
        <f>IF('SpFire-SpLiab10'!E79&lt;&gt;0,ROUND(G21/$F$58*1000,3),"  ")</f>
        <v>0.70599999999999996</v>
      </c>
    </row>
    <row r="22" spans="1:13" x14ac:dyDescent="0.25">
      <c r="A22" s="52" t="str">
        <f>IF(inputPrYr!$B26&gt;"  ",(inputPrYr!$B26),"  ")</f>
        <v>Employee Benefits</v>
      </c>
      <c r="B22" s="52">
        <f>IF('EmBene-EcoDevo11'!$C$39&gt;0,'EmBene-EcoDevo11'!$C$39,"  ")</f>
        <v>1469148</v>
      </c>
      <c r="C22" s="227">
        <f>IF(inputPrYr!D92&gt;0,inputPrYr!D92,"  ")</f>
        <v>9.5660000000000007</v>
      </c>
      <c r="D22" s="52">
        <f>IF('EmBene-EcoDevo11'!$D$39&gt;0,'EmBene-EcoDevo11'!$D$39,"  ")</f>
        <v>1543751</v>
      </c>
      <c r="E22" s="227">
        <f>IF(inputOth!D31&gt;0,inputOth!D31,"  ")</f>
        <v>9.2249999999999996</v>
      </c>
      <c r="F22" s="52">
        <f>IF('EmBene-EcoDevo11'!$E$39&gt;0,'EmBene-EcoDevo11'!$E$39,"  ")</f>
        <v>2041751</v>
      </c>
      <c r="G22" s="52">
        <f>IF('EmBene-EcoDevo11'!$E$46&lt;&gt;0,'EmBene-EcoDevo11'!$E$46,"  ")</f>
        <v>580735</v>
      </c>
      <c r="H22" s="227">
        <f>IF('EmBene-EcoDevo11'!E46&lt;&gt;0,ROUND(G22/$F$58*1000,3),"  ")</f>
        <v>8.8889999999999993</v>
      </c>
    </row>
    <row r="23" spans="1:13" x14ac:dyDescent="0.25">
      <c r="A23" s="52" t="str">
        <f>IF(inputPrYr!$B27&gt;"  ",(inputPrYr!$B27),"  ")</f>
        <v>Economic Development</v>
      </c>
      <c r="B23" s="52">
        <f>IF('EmBene-EcoDevo11'!$C$77&gt;0,'EmBene-EcoDevo11'!$C$77,"  ")</f>
        <v>793328</v>
      </c>
      <c r="C23" s="227">
        <f>IF(inputPrYr!D93&gt;0,inputPrYr!D93,"  ")</f>
        <v>1.343</v>
      </c>
      <c r="D23" s="52">
        <f>IF('EmBene-EcoDevo11'!$D$77&gt;0,'EmBene-EcoDevo11'!$D$77,"  ")</f>
        <v>432024</v>
      </c>
      <c r="E23" s="227">
        <f>IF(inputOth!D32&gt;0,inputOth!D32,"  ")</f>
        <v>1.222</v>
      </c>
      <c r="F23" s="52">
        <f>IF('EmBene-EcoDevo11'!$E$77&gt;0,'EmBene-EcoDevo11'!$E$77,"  ")</f>
        <v>2431861</v>
      </c>
      <c r="G23" s="52">
        <f>IF('EmBene-EcoDevo11'!$E$84&lt;&gt;0,'EmBene-EcoDevo11'!$E$84,"  ")</f>
        <v>79665</v>
      </c>
      <c r="H23" s="227">
        <f>IF('EmBene-EcoDevo11'!E84&lt;&gt;0,ROUND(G23/$F$58*1000,3),"  ")</f>
        <v>1.2190000000000001</v>
      </c>
    </row>
    <row r="24" spans="1:13" x14ac:dyDescent="0.25">
      <c r="A24" s="52" t="str">
        <f>IF(inputPrYr!$B28&gt;"  ",(inputPrYr!$B28),"  ")</f>
        <v xml:space="preserve">  </v>
      </c>
      <c r="B24" s="52" t="str">
        <f>IF('NU Levy'!$C$33&gt;0,'NU Levy'!$C$33,"  ")</f>
        <v xml:space="preserve">  </v>
      </c>
      <c r="C24" s="227" t="str">
        <f>IF(inputPrYr!D94&gt;0,inputPrYr!D94,"  ")</f>
        <v xml:space="preserve">  </v>
      </c>
      <c r="D24" s="52" t="str">
        <f>IF('NU Levy'!$D$33&gt;0,'NU Levy'!$D$33,"  ")</f>
        <v xml:space="preserve">  </v>
      </c>
      <c r="E24" s="227" t="str">
        <f>IF(inputOth!D33&gt;0,inputOth!D33,"  ")</f>
        <v xml:space="preserve">  </v>
      </c>
      <c r="F24" s="52" t="str">
        <f>IF('NU Levy'!$E$33&gt;0,'NU Levy'!$E$33,"  ")</f>
        <v xml:space="preserve">  </v>
      </c>
      <c r="G24" s="52" t="str">
        <f>IF('NU Levy'!$E$40&lt;&gt;0,'NU Levy'!$E$40,"  ")</f>
        <v xml:space="preserve">  </v>
      </c>
      <c r="H24" s="227" t="str">
        <f>IF('NU Levy'!E40&lt;&gt;0,ROUND(G24/$F$58*1000,3),"  ")</f>
        <v xml:space="preserve">  </v>
      </c>
    </row>
    <row r="25" spans="1:13" x14ac:dyDescent="0.25">
      <c r="A25" s="52" t="str">
        <f>IF(inputPrYr!$B29&gt;"  ",(inputPrYr!$B29),"  ")</f>
        <v xml:space="preserve">  </v>
      </c>
      <c r="B25" s="52" t="str">
        <f>IF('NU Levy'!$C$72&gt;0,'NU Levy'!$C$72,"  ")</f>
        <v xml:space="preserve">  </v>
      </c>
      <c r="C25" s="227" t="str">
        <f>IF(inputPrYr!D95&gt;0,inputPrYr!D95,"  ")</f>
        <v xml:space="preserve">  </v>
      </c>
      <c r="D25" s="52" t="str">
        <f>IF('NU Levy'!$D$72&gt;0,'NU Levy'!$D$72,"  ")</f>
        <v xml:space="preserve">  </v>
      </c>
      <c r="E25" s="227" t="str">
        <f>IF(inputOth!D34&gt;0,inputOth!D34,"  ")</f>
        <v xml:space="preserve">  </v>
      </c>
      <c r="F25" s="52" t="str">
        <f>IF('NU Levy'!$E$72&gt;0,'NU Levy'!$E$72,"  ")</f>
        <v xml:space="preserve">  </v>
      </c>
      <c r="G25" s="52" t="str">
        <f>IF('NU Levy'!$E$79&lt;&gt;0,'NU Levy'!$E$79,"  ")</f>
        <v xml:space="preserve">  </v>
      </c>
      <c r="H25" s="227" t="str">
        <f>IF('NU Levy'!E79&lt;&gt;0,ROUND(G25/$F$58*1000,3),"  ")</f>
        <v xml:space="preserve">  </v>
      </c>
    </row>
    <row r="26" spans="1:13" x14ac:dyDescent="0.25">
      <c r="A26" s="52" t="str">
        <f>IF(inputPrYr!$B30&gt;"  ",(inputPrYr!$B30),"  ")</f>
        <v xml:space="preserve">  </v>
      </c>
      <c r="B26" s="52" t="str">
        <f>IF('NU Lvy'!$C$33&gt;0,'NU Lvy'!$C$33,"  ")</f>
        <v xml:space="preserve">  </v>
      </c>
      <c r="C26" s="227" t="str">
        <f>IF(inputPrYr!D96&gt;0,inputPrYr!D96,"  ")</f>
        <v xml:space="preserve">  </v>
      </c>
      <c r="D26" s="52" t="str">
        <f>IF('NU Lvy'!$D$33&gt;0,'NU Lvy'!$D$33,"  ")</f>
        <v xml:space="preserve">  </v>
      </c>
      <c r="E26" s="227" t="str">
        <f>IF(inputOth!D35&gt;0,inputOth!D35,"  ")</f>
        <v xml:space="preserve">  </v>
      </c>
      <c r="F26" s="52" t="str">
        <f>IF('NU Lvy'!$E$33&gt;0,'NU Lvy'!$E$33,"  ")</f>
        <v xml:space="preserve">  </v>
      </c>
      <c r="G26" s="52" t="str">
        <f>IF('NU Lvy'!$E$40&lt;&gt;0,'NU Lvy'!$E$40,"  ")</f>
        <v xml:space="preserve">  </v>
      </c>
      <c r="H26" s="227" t="str">
        <f>IF('NU Lvy'!E40&lt;&gt;0,ROUND(G26/$F$58*1000,3),"  ")</f>
        <v xml:space="preserve">  </v>
      </c>
    </row>
    <row r="27" spans="1:13" x14ac:dyDescent="0.25">
      <c r="A27" s="52" t="str">
        <f>IF(inputPrYr!B31&gt;"  ",(inputPrYr!B31),"  ")</f>
        <v xml:space="preserve">  </v>
      </c>
      <c r="B27" s="52" t="str">
        <f>IF('NU Lvy'!$C$73&gt;0,'NU Lvy'!$C$73,"  ")</f>
        <v xml:space="preserve">  </v>
      </c>
      <c r="C27" s="227" t="str">
        <f>IF(inputPrYr!D97&gt;0,inputPrYr!D97,"  ")</f>
        <v xml:space="preserve">  </v>
      </c>
      <c r="D27" s="52" t="str">
        <f>IF('NU Lvy'!$D$73&gt;0,'NU Lvy'!$D$73,"  ")</f>
        <v xml:space="preserve">  </v>
      </c>
      <c r="E27" s="227" t="str">
        <f>IF(inputOth!D36&gt;0,inputOth!D36,"  ")</f>
        <v xml:space="preserve">  </v>
      </c>
      <c r="F27" s="52" t="str">
        <f>IF('NU Lvy'!$E$73&gt;0,'NU Lvy'!$E$73,"  ")</f>
        <v xml:space="preserve">  </v>
      </c>
      <c r="G27" s="52" t="str">
        <f>IF('NU Lvy'!$E$80&lt;&gt;0,'NU Lvy'!$E$80,"  ")</f>
        <v xml:space="preserve">  </v>
      </c>
      <c r="H27" s="227" t="str">
        <f>IF('NU Lvy'!E80&lt;&gt;0,ROUND(G27/$F$58*1000,3),"  ")</f>
        <v xml:space="preserve">  </v>
      </c>
    </row>
    <row r="28" spans="1:13" x14ac:dyDescent="0.25">
      <c r="A28" s="52" t="str">
        <f>IF(inputPrYr!$B35&gt;"  ",(inputPrYr!$B35),"  ")</f>
        <v>Special Highway</v>
      </c>
      <c r="B28" s="52">
        <f>IF(SpHwy_Elec12!$C$26&gt;0,SpHwy_Elec12!$C$26,"  ")</f>
        <v>322041</v>
      </c>
      <c r="C28" s="38"/>
      <c r="D28" s="52">
        <f>IF(SpHwy_Elec12!$D$26&gt;0,SpHwy_Elec12!$D$26,"  ")</f>
        <v>842634</v>
      </c>
      <c r="E28" s="38"/>
      <c r="F28" s="52">
        <f>IF(SpHwy_Elec12!$E$26&gt;0,SpHwy_Elec12!$E$26,"  ")</f>
        <v>95000</v>
      </c>
      <c r="G28" s="52"/>
      <c r="H28" s="227"/>
    </row>
    <row r="29" spans="1:13" x14ac:dyDescent="0.25">
      <c r="A29" s="52" t="str">
        <f>IF(inputPrYr!$B36&gt;"  ",(inputPrYr!$B36),"  ")</f>
        <v>Electric Utility</v>
      </c>
      <c r="B29" s="52">
        <f>IF(SpHwy_Elec12!$C$61&gt;0,SpHwy_Elec12!$C$61,"  ")</f>
        <v>6849748</v>
      </c>
      <c r="C29" s="38"/>
      <c r="D29" s="52">
        <f>IF(SpHwy_Elec12!$D$61&gt;0,SpHwy_Elec12!$D$61,"  ")</f>
        <v>7045023</v>
      </c>
      <c r="E29" s="38"/>
      <c r="F29" s="52">
        <f>IF(SpHwy_Elec12!$E$61&gt;0,SpHwy_Elec12!$E$61,"  ")</f>
        <v>7796492</v>
      </c>
      <c r="G29" s="52"/>
      <c r="H29" s="227"/>
    </row>
    <row r="30" spans="1:13" x14ac:dyDescent="0.25">
      <c r="A30" s="52" t="str">
        <f>IF(inputPrYr!$B37&gt;"  ",(inputPrYr!$B37),"  ")</f>
        <v>Water Utility</v>
      </c>
      <c r="B30" s="52">
        <f>IF(Watr_Sewr13!$C$31&gt;0,Watr_Sewr13!$C$31,"  ")</f>
        <v>1658357</v>
      </c>
      <c r="C30" s="38"/>
      <c r="D30" s="52">
        <f>IF(Watr_Sewr13!$D$31&gt;0,Watr_Sewr13!$D$31,"  ")</f>
        <v>1678989</v>
      </c>
      <c r="E30" s="38"/>
      <c r="F30" s="52">
        <f>IF(Watr_Sewr13!$E$31&gt;0,Watr_Sewr13!$E$31,"  ")</f>
        <v>1972280.24</v>
      </c>
      <c r="G30" s="52"/>
      <c r="H30" s="227"/>
    </row>
    <row r="31" spans="1:13" x14ac:dyDescent="0.25">
      <c r="A31" s="52" t="str">
        <f>IF(inputPrYr!$B38&gt;"  ",(inputPrYr!$B38),"  ")</f>
        <v>Sewage Disposal Utility</v>
      </c>
      <c r="B31" s="52">
        <f>IF(Watr_Sewr13!$C$64&gt;0,Watr_Sewr13!$C$64,"  ")</f>
        <v>1426855</v>
      </c>
      <c r="C31" s="38"/>
      <c r="D31" s="52">
        <f>IF(Watr_Sewr13!$D$64&gt;0,Watr_Sewr13!$D$64,"  ")</f>
        <v>1504129</v>
      </c>
      <c r="E31" s="38"/>
      <c r="F31" s="52">
        <f>IF(Watr_Sewr13!$E$64&gt;0,Watr_Sewr13!$E$64,"  ")</f>
        <v>1702380</v>
      </c>
      <c r="G31" s="52"/>
      <c r="H31" s="227"/>
      <c r="J31" s="24" t="s">
        <v>1157</v>
      </c>
      <c r="M31" s="672">
        <v>32618897.129999999</v>
      </c>
    </row>
    <row r="32" spans="1:13" x14ac:dyDescent="0.25">
      <c r="A32" s="52" t="str">
        <f>IF(inputPrYr!$B39&gt;"  ",(inputPrYr!$B39),"  ")</f>
        <v>Solid Waste Disposal Utility</v>
      </c>
      <c r="B32" s="52">
        <f>IF(Trash_CVB14!$C$29&gt;0,Trash_CVB14!$C$29,"  ")</f>
        <v>821114</v>
      </c>
      <c r="C32" s="38"/>
      <c r="D32" s="52">
        <f>IF(Trash_CVB14!$D$29&gt;0,Trash_CVB14!$D$29,"  ")</f>
        <v>893350</v>
      </c>
      <c r="E32" s="38"/>
      <c r="F32" s="52">
        <f>IF(Trash_CVB14!$E$29&gt;0,Trash_CVB14!$E$29,"  ")</f>
        <v>945458</v>
      </c>
      <c r="G32" s="38"/>
      <c r="H32" s="38"/>
      <c r="J32" s="24" t="s">
        <v>1152</v>
      </c>
    </row>
    <row r="33" spans="1:13" x14ac:dyDescent="0.25">
      <c r="A33" s="52" t="str">
        <f>IF(inputPrYr!$B40&gt;"  ",(inputPrYr!$B40),"  ")</f>
        <v>Convention/Tourism</v>
      </c>
      <c r="B33" s="52">
        <f>IF(Trash_CVB14!$C$60&gt;0,Trash_CVB14!$C$60,"  ")</f>
        <v>443525</v>
      </c>
      <c r="C33" s="38"/>
      <c r="D33" s="52">
        <f>IF(Trash_CVB14!$D$60&gt;0,Trash_CVB14!$D$60,"  ")</f>
        <v>357560</v>
      </c>
      <c r="E33" s="38"/>
      <c r="F33" s="52">
        <f>IF(Trash_CVB14!$E$60&gt;0,Trash_CVB14!$E$60,"  ")</f>
        <v>400000</v>
      </c>
      <c r="G33" s="38"/>
      <c r="H33" s="38"/>
      <c r="K33" s="24" t="s">
        <v>993</v>
      </c>
      <c r="M33" s="672">
        <v>-1588981.99</v>
      </c>
    </row>
    <row r="34" spans="1:13" x14ac:dyDescent="0.25">
      <c r="A34" s="52" t="str">
        <f>IF(inputPrYr!$B41&gt;"  ",(inputPrYr!$B41),"  ")</f>
        <v>Law Enforcement Trust</v>
      </c>
      <c r="B34" s="52">
        <f>IF(SpLET_SpParks15!$C$26&gt;0,SpLET_SpParks15!$C$26,"  ")</f>
        <v>95665</v>
      </c>
      <c r="C34" s="38"/>
      <c r="D34" s="52">
        <f>IF(SpLET_SpParks15!$D$26&gt;0,SpLET_SpParks15!$D$26,"  ")</f>
        <v>115476</v>
      </c>
      <c r="E34" s="38"/>
      <c r="F34" s="52">
        <f>IF(SpLET_SpParks15!$E$26&gt;0,SpLET_SpParks15!$E$26,"  ")</f>
        <v>150770</v>
      </c>
      <c r="G34" s="38"/>
      <c r="H34" s="38"/>
      <c r="K34" s="24" t="s">
        <v>1153</v>
      </c>
      <c r="M34" s="672">
        <v>-372497.72</v>
      </c>
    </row>
    <row r="35" spans="1:13" x14ac:dyDescent="0.25">
      <c r="A35" s="52" t="str">
        <f>IF(inputPrYr!$B42&gt;"  ",(inputPrYr!$B42),"  ")</f>
        <v>Special Parks/Recreation</v>
      </c>
      <c r="B35" s="52">
        <f>IF(SpLET_SpParks15!$C$55&gt;0,SpLET_SpParks15!$C$55,"  ")</f>
        <v>35033</v>
      </c>
      <c r="C35" s="38"/>
      <c r="D35" s="52">
        <f>IF(SpLET_SpParks15!$D$55&gt;0,SpLET_SpParks15!$D$55,"  ")</f>
        <v>46015</v>
      </c>
      <c r="E35" s="38"/>
      <c r="F35" s="52">
        <f>IF(SpLET_SpParks15!$E$55&gt;0,SpLET_SpParks15!$E$55,"  ")</f>
        <v>109000</v>
      </c>
      <c r="G35" s="38"/>
      <c r="H35" s="38"/>
      <c r="K35" s="24" t="s">
        <v>1154</v>
      </c>
      <c r="M35" s="672">
        <v>-4532278.79</v>
      </c>
    </row>
    <row r="36" spans="1:13" x14ac:dyDescent="0.25">
      <c r="A36" s="52" t="str">
        <f>IF(inputPrYr!$B43&gt;"  ",(inputPrYr!$B43),"  ")</f>
        <v>E911</v>
      </c>
      <c r="B36" s="52">
        <f>IF('E911_Land Bank16'!$C$25&gt;0,'E911_Land Bank16'!$C$25,"  ")</f>
        <v>57896</v>
      </c>
      <c r="C36" s="38"/>
      <c r="D36" s="52">
        <f>IF('E911_Land Bank16'!$D$25&gt;0,'E911_Land Bank16'!$D$25,"  ")</f>
        <v>72169</v>
      </c>
      <c r="E36" s="38"/>
      <c r="F36" s="52">
        <f>IF('E911_Land Bank16'!$E$25&gt;0,'E911_Land Bank16'!$E$25,"  ")</f>
        <v>94866</v>
      </c>
      <c r="G36" s="38"/>
      <c r="H36" s="38"/>
      <c r="K36" s="24" t="s">
        <v>994</v>
      </c>
      <c r="M36" s="672">
        <v>-549875</v>
      </c>
    </row>
    <row r="37" spans="1:13" x14ac:dyDescent="0.25">
      <c r="A37" s="52" t="str">
        <f>IF(inputPrYr!$B44&gt;"  ",(inputPrYr!$B44),"  ")</f>
        <v>Colby Land Bank</v>
      </c>
      <c r="B37" s="52" t="str">
        <f>IF('E911_Land Bank16'!$C$56&gt;0,'E911_Land Bank16'!$C$56,"  ")</f>
        <v xml:space="preserve">  </v>
      </c>
      <c r="C37" s="38"/>
      <c r="D37" s="52">
        <f>IF('E911_Land Bank16'!$D$56&gt;0,'E911_Land Bank16'!$D$56,"  ")</f>
        <v>100500</v>
      </c>
      <c r="E37" s="38"/>
      <c r="F37" s="52">
        <f>IF('E911_Land Bank16'!$E$56&gt;0,'E911_Land Bank16'!$E$56,"  ")</f>
        <v>100000</v>
      </c>
      <c r="G37" s="38"/>
      <c r="H37" s="38"/>
      <c r="K37" s="24" t="s">
        <v>1155</v>
      </c>
      <c r="M37" s="673">
        <v>-0.63</v>
      </c>
    </row>
    <row r="38" spans="1:13" x14ac:dyDescent="0.25">
      <c r="A38" s="52" t="str">
        <f>IF(inputPrYr!$B45&gt;"  ",(inputPrYr!$B45),"  ")</f>
        <v xml:space="preserve">  </v>
      </c>
      <c r="B38" s="52" t="str">
        <f>IF('NUNo Levy Pg'!$C$26&gt;0,'NUNo Levy Pg'!$C$26,"  ")</f>
        <v xml:space="preserve">  </v>
      </c>
      <c r="C38" s="38"/>
      <c r="D38" s="52" t="str">
        <f>IF('NUNo Levy Pg'!$D$26&gt;0,'NUNo Levy Pg'!$D$26,"  ")</f>
        <v xml:space="preserve">  </v>
      </c>
      <c r="E38" s="38"/>
      <c r="F38" s="52" t="str">
        <f>IF('NUNo Levy Pg'!$E$26&gt;0,'NUNo Levy Pg'!$E$26,"  ")</f>
        <v xml:space="preserve">  </v>
      </c>
      <c r="G38" s="38"/>
      <c r="H38" s="38"/>
      <c r="J38" s="24" t="s">
        <v>1156</v>
      </c>
      <c r="M38" s="674">
        <f>SUM(M31:M37)</f>
        <v>25575263.000000004</v>
      </c>
    </row>
    <row r="39" spans="1:13" x14ac:dyDescent="0.25">
      <c r="A39" s="52" t="str">
        <f>IF(inputPrYr!$B46&gt;"  ",(inputPrYr!$B46),"  ")</f>
        <v xml:space="preserve">  </v>
      </c>
      <c r="B39" s="52" t="str">
        <f>IF('NUNo Levy Pg'!$C$55&gt;0,'NUNo Levy Pg'!$C$55,"  ")</f>
        <v xml:space="preserve">  </v>
      </c>
      <c r="C39" s="38"/>
      <c r="D39" s="52" t="str">
        <f>IF('NUNo Levy Pg'!$D$55&gt;0,'NUNo Levy Pg'!$D$55,"  ")</f>
        <v xml:space="preserve">  </v>
      </c>
      <c r="E39" s="38"/>
      <c r="F39" s="52" t="str">
        <f>IF('NUNo Levy Pg'!$E$55&gt;0,'NUNo Levy Pg'!$E$55,"  ")</f>
        <v xml:space="preserve">  </v>
      </c>
      <c r="G39" s="38"/>
      <c r="H39" s="38"/>
    </row>
    <row r="40" spans="1:13" x14ac:dyDescent="0.25">
      <c r="A40" s="52" t="str">
        <f>IF(inputPrYr!$B47&gt;"  ",(inputPrYr!$B47),"  ")</f>
        <v xml:space="preserve">  </v>
      </c>
      <c r="B40" s="52" t="str">
        <f>IF('NUNo Levy Pag'!$C$26&gt;0,'NUNo Levy Pag'!$C$26,"  ")</f>
        <v xml:space="preserve">  </v>
      </c>
      <c r="C40" s="38"/>
      <c r="D40" s="52" t="str">
        <f>IF('NUNo Levy Pag'!$D$26&gt;0,'NUNo Levy Pag'!$D$26,"  ")</f>
        <v xml:space="preserve">  </v>
      </c>
      <c r="E40" s="38"/>
      <c r="F40" s="52" t="str">
        <f>IF('NUNo Levy Pag'!$E$26&gt;0,'NUNo Levy Pag'!$E$26,"  ")</f>
        <v xml:space="preserve">  </v>
      </c>
      <c r="G40" s="38"/>
      <c r="H40" s="38"/>
    </row>
    <row r="41" spans="1:13" x14ac:dyDescent="0.3">
      <c r="A41" s="52" t="str">
        <f>IF(inputPrYr!$B48&gt;"  ",(inputPrYr!$B48),"  ")</f>
        <v xml:space="preserve">  </v>
      </c>
      <c r="B41" s="52" t="str">
        <f>IF('NUNo Levy Pag'!$C$55&gt;0,'NUNo Levy Pag'!$C$55,"  ")</f>
        <v xml:space="preserve">  </v>
      </c>
      <c r="C41" s="38"/>
      <c r="D41" s="52" t="str">
        <f>IF('NUNo Levy Pag'!$D$55&gt;0,'NUNo Levy Pag'!$D$55,"  ")</f>
        <v xml:space="preserve">  </v>
      </c>
      <c r="E41" s="38"/>
      <c r="F41" s="52" t="str">
        <f>IF('NUNo Levy Pag'!$E$55&gt;0,'NUNo Levy Pag'!$E$55,"  ")</f>
        <v xml:space="preserve">  </v>
      </c>
      <c r="G41" s="38"/>
      <c r="H41" s="38"/>
      <c r="J41" s="783" t="str">
        <f>CONCATENATE("Estimated Value Of One Mill For ",H2,"")</f>
        <v>Estimated Value Of One Mill For 2026</v>
      </c>
      <c r="K41" s="784"/>
      <c r="L41" s="784"/>
      <c r="M41" s="785"/>
    </row>
    <row r="42" spans="1:13" x14ac:dyDescent="0.35">
      <c r="A42" s="52" t="str">
        <f>IF(inputPrYr!$B49&gt;"  ",(inputPrYr!$B49),"  ")</f>
        <v xml:space="preserve">  </v>
      </c>
      <c r="B42" s="52" t="str">
        <f>IF('NUNo Levy Page'!$C$26&gt;0,'NUNo Levy Page'!$C$26,"  ")</f>
        <v xml:space="preserve">  </v>
      </c>
      <c r="C42" s="38"/>
      <c r="D42" s="52" t="str">
        <f>IF('NUNo Levy Page'!$D$26&gt;0,'NUNo Levy Page'!$D$26,"  ")</f>
        <v xml:space="preserve">  </v>
      </c>
      <c r="E42" s="38"/>
      <c r="F42" s="52" t="str">
        <f>IF('NUNo Levy Page'!$E$26&gt;0,'NUNo Levy Page'!$E$26,"  ")</f>
        <v xml:space="preserve">  </v>
      </c>
      <c r="G42" s="38"/>
      <c r="H42" s="38"/>
      <c r="J42" s="314"/>
      <c r="K42" s="315"/>
      <c r="L42" s="315"/>
      <c r="M42" s="316"/>
    </row>
    <row r="43" spans="1:13" x14ac:dyDescent="0.35">
      <c r="A43" s="52" t="str">
        <f>IF(inputPrYr!$B50&gt;"  ",(inputPrYr!$B50),"  ")</f>
        <v xml:space="preserve">  </v>
      </c>
      <c r="B43" s="52" t="str">
        <f>IF('NUNo Levy Page'!$C$55&gt;0,'NUNo Levy Page'!$C$55,"  ")</f>
        <v xml:space="preserve">  </v>
      </c>
      <c r="C43" s="38"/>
      <c r="D43" s="52" t="str">
        <f>IF('NUNo Levy Page'!$D$55&gt;0,'NUNo Levy Page'!$D$55,"  ")</f>
        <v xml:space="preserve">  </v>
      </c>
      <c r="E43" s="38"/>
      <c r="F43" s="52" t="str">
        <f>IF('NUNo Levy Page'!$E$55&gt;0,'NUNo Levy Page'!$E$55,"  ")</f>
        <v xml:space="preserve">  </v>
      </c>
      <c r="G43" s="38"/>
      <c r="H43" s="38"/>
      <c r="J43" s="317" t="s">
        <v>340</v>
      </c>
      <c r="K43" s="318"/>
      <c r="L43" s="318"/>
      <c r="M43" s="500">
        <f>ROUND(F58/1000,0)</f>
        <v>65330</v>
      </c>
    </row>
    <row r="44" spans="1:13" x14ac:dyDescent="0.25">
      <c r="A44" s="52" t="str">
        <f>IF(inputPrYr!$B52&gt;"  ",(inputPrYr!$B52),"  ")</f>
        <v xml:space="preserve">  </v>
      </c>
      <c r="B44" s="52" t="str">
        <f>IF('NUSingle No Levy'!$C$44&gt;0,'NUSingle No Levy'!$C$44,"  ")</f>
        <v xml:space="preserve">  </v>
      </c>
      <c r="C44" s="38"/>
      <c r="D44" s="52" t="str">
        <f>IF('NUSingle No Levy'!$D$44&gt;0,'NUSingle No Levy'!$D$44,"  ")</f>
        <v xml:space="preserve">  </v>
      </c>
      <c r="E44" s="38"/>
      <c r="F44" s="52" t="str">
        <f>IF('NUSingle No Levy'!$E$44&gt;0,'NUSingle No Levy'!$E$44,"  ")</f>
        <v xml:space="preserve">  </v>
      </c>
      <c r="G44" s="38"/>
      <c r="H44" s="38"/>
    </row>
    <row r="45" spans="1:13" x14ac:dyDescent="0.3">
      <c r="A45" s="52" t="str">
        <f>IF(inputPrYr!$B53&gt;"  ",(inputPrYr!$B53),"  ")</f>
        <v xml:space="preserve">  </v>
      </c>
      <c r="B45" s="52" t="str">
        <f>IF('NUSingle NoLevy'!$C$44&gt;0,'NUSingle NoLevy'!$C$44,"  ")</f>
        <v xml:space="preserve">  </v>
      </c>
      <c r="C45" s="38"/>
      <c r="D45" s="52" t="str">
        <f>IF('NUSingle NoLevy'!$D$44&gt;0,'NUSingle NoLevy'!$D$44,"  ")</f>
        <v xml:space="preserve">  </v>
      </c>
      <c r="E45" s="38"/>
      <c r="F45" s="52" t="str">
        <f>IF('NUSingle NoLevy'!$E$44&gt;0,'NUSingle NoLevy'!$E$44,"  ")</f>
        <v xml:space="preserve">  </v>
      </c>
      <c r="G45" s="38"/>
      <c r="H45" s="38"/>
      <c r="J45" s="783" t="str">
        <f>CONCATENATE("Want The Mill Rate The Same As For ",H2-1,"?")</f>
        <v>Want The Mill Rate The Same As For 2025?</v>
      </c>
      <c r="K45" s="784"/>
      <c r="L45" s="784"/>
      <c r="M45" s="785"/>
    </row>
    <row r="46" spans="1:13" x14ac:dyDescent="0.35">
      <c r="A46" s="52" t="str">
        <f>IF(inputPrYr!$B54&gt;"  ",(inputPrYr!$B54),"  ")</f>
        <v xml:space="preserve">  </v>
      </c>
      <c r="B46" s="52" t="str">
        <f>IF('NUSingle NoLvy'!$C$44&gt;0,'NUSingle NoLvy'!$C$44,"  ")</f>
        <v xml:space="preserve">  </v>
      </c>
      <c r="C46" s="38"/>
      <c r="D46" s="52" t="str">
        <f>IF('NUSingle NoLvy'!$D$44&gt;0,'NUSingle NoLvy'!$D$44,"  ")</f>
        <v xml:space="preserve">  </v>
      </c>
      <c r="E46" s="38"/>
      <c r="F46" s="52" t="str">
        <f>IF('NUSingle NoLvy'!$E$44&gt;0,'NUSingle NoLvy'!$E$44,"  ")</f>
        <v xml:space="preserve">  </v>
      </c>
      <c r="G46" s="38"/>
      <c r="H46" s="38"/>
      <c r="J46" s="321"/>
      <c r="K46" s="315"/>
      <c r="L46" s="315"/>
      <c r="M46" s="322"/>
    </row>
    <row r="47" spans="1:13" x14ac:dyDescent="0.35">
      <c r="A47" s="52" t="str">
        <f>IF(inputPrYr!$B55&gt;"  ",(inputPrYr!$B55),"  ")</f>
        <v xml:space="preserve">  </v>
      </c>
      <c r="B47" s="52" t="str">
        <f>IF('NUSingle NLevy'!$C$44&gt;0,'NUSingle NLevy'!$C$44,"  ")</f>
        <v xml:space="preserve">  </v>
      </c>
      <c r="C47" s="38"/>
      <c r="D47" s="52" t="str">
        <f>IF('NUSingle NLevy'!$D$44&gt;0,'NUSingle NLevy'!$D$44,"  ")</f>
        <v xml:space="preserve">  </v>
      </c>
      <c r="E47" s="38"/>
      <c r="F47" s="52" t="str">
        <f>IF('NUSingle NLevy'!$E$44&gt;0,'NUSingle NLevy'!$E$44,"  ")</f>
        <v xml:space="preserve">  </v>
      </c>
      <c r="G47" s="38"/>
      <c r="H47" s="38"/>
      <c r="J47" s="321" t="str">
        <f>CONCATENATE("",H2-1," Mill Rate Was:")</f>
        <v>2025 Mill Rate Was:</v>
      </c>
      <c r="K47" s="315"/>
      <c r="L47" s="315"/>
      <c r="M47" s="323">
        <f>E52</f>
        <v>34.4</v>
      </c>
    </row>
    <row r="48" spans="1:13" x14ac:dyDescent="0.35">
      <c r="A48" s="52" t="str">
        <f>IF(inputPrYr!$B58&gt;"  ",(CIRF_MERF_FP_GWTP_GP17!$A3),"  ")</f>
        <v>Non-Budgeted Funds-A</v>
      </c>
      <c r="B48" s="52">
        <f>IF(CIRF_MERF_FP_GWTP_GP17!$K$29&gt;0,CIRF_MERF_FP_GWTP_GP17!$K$29,"  ")</f>
        <v>3193342</v>
      </c>
      <c r="C48" s="38"/>
      <c r="D48" s="52"/>
      <c r="E48" s="38"/>
      <c r="F48" s="52"/>
      <c r="G48" s="38"/>
      <c r="H48" s="38"/>
      <c r="J48" s="324" t="str">
        <f>CONCATENATE("",H2," Tax Levy Fund Expenditures Must Be")</f>
        <v>2026 Tax Levy Fund Expenditures Must Be</v>
      </c>
      <c r="K48" s="325"/>
      <c r="L48" s="325"/>
      <c r="M48" s="322"/>
    </row>
    <row r="49" spans="1:14" x14ac:dyDescent="0.35">
      <c r="A49" s="52" t="str">
        <f>IF(inputPrYr!$B64&gt;"  ",(RiskMgmt18!$A3),"  ")</f>
        <v>Non-Budgeted Funds-B</v>
      </c>
      <c r="B49" s="52" t="str">
        <f>IF(RiskMgmt18!$K$28&gt;0,RiskMgmt18!$K$28,"  ")</f>
        <v xml:space="preserve">  </v>
      </c>
      <c r="C49" s="38"/>
      <c r="D49" s="52"/>
      <c r="E49" s="38"/>
      <c r="F49" s="52"/>
      <c r="G49" s="38"/>
      <c r="H49" s="38"/>
      <c r="J49" s="324" t="str">
        <f>IF(M49&gt;0,"Increased By:","")</f>
        <v>Increased By:</v>
      </c>
      <c r="K49" s="325"/>
      <c r="L49" s="325"/>
      <c r="M49" s="363">
        <f>IF(M56&lt;0,M56*-1,0)</f>
        <v>0.46999999973922968</v>
      </c>
    </row>
    <row r="50" spans="1:14" x14ac:dyDescent="0.25">
      <c r="A50" s="52" t="str">
        <f>IF(inputPrYr!$B70&gt;"  ",('NUNon-Budgeted Funds C'!$A3),"  ")</f>
        <v xml:space="preserve">  </v>
      </c>
      <c r="B50" s="52" t="str">
        <f>IF('NUNon-Budgeted Funds C'!$K$28&gt;0,'NUNon-Budgeted Funds C'!$K$28,"  ")</f>
        <v xml:space="preserve">  </v>
      </c>
      <c r="C50" s="38"/>
      <c r="D50" s="52"/>
      <c r="E50" s="38"/>
      <c r="F50" s="52"/>
      <c r="G50" s="38"/>
      <c r="H50" s="38"/>
      <c r="J50" s="364" t="str">
        <f>IF(M50&lt;0,"Reduced By:","")</f>
        <v/>
      </c>
      <c r="K50" s="365"/>
      <c r="L50" s="365"/>
      <c r="M50" s="366">
        <f>IF(M56&gt;0,M56*-1,0)</f>
        <v>0</v>
      </c>
    </row>
    <row r="51" spans="1:14" ht="16" thickBot="1" x14ac:dyDescent="0.4">
      <c r="A51" s="52" t="str">
        <f>IF(inputPrYr!$B76&gt;"  ",('NUNon-Budgeted Funds D'!$A3),"  ")</f>
        <v xml:space="preserve">  </v>
      </c>
      <c r="B51" s="332" t="str">
        <f>IF('NUNon-Budgeted Funds D'!$K$28&gt;0,'NUNon-Budgeted Funds D'!$K$28,"  ")</f>
        <v xml:space="preserve">  </v>
      </c>
      <c r="C51" s="333"/>
      <c r="D51" s="332"/>
      <c r="E51" s="333"/>
      <c r="F51" s="332"/>
      <c r="G51" s="333"/>
      <c r="H51" s="333"/>
      <c r="J51" s="320"/>
      <c r="K51" s="320"/>
      <c r="L51" s="320"/>
      <c r="M51" s="320"/>
    </row>
    <row r="52" spans="1:14" ht="16" thickBot="1" x14ac:dyDescent="0.35">
      <c r="A52" s="577" t="s">
        <v>349</v>
      </c>
      <c r="B52" s="578">
        <f>SUM(B15:B51)</f>
        <v>23647668</v>
      </c>
      <c r="C52" s="579">
        <f>SUM(C15:C27)</f>
        <v>33.525999999999996</v>
      </c>
      <c r="D52" s="578">
        <f>SUM(D15:D51)</f>
        <v>21700953</v>
      </c>
      <c r="E52" s="579">
        <f>SUM(E15:E27)</f>
        <v>34.4</v>
      </c>
      <c r="F52" s="578">
        <f>SUM(F15:F51)</f>
        <v>25575263.239999998</v>
      </c>
      <c r="G52" s="578">
        <f>SUM(G15:G51)</f>
        <v>2247354.5300000003</v>
      </c>
      <c r="H52" s="579">
        <f>SUM(H15:H27)</f>
        <v>34.4</v>
      </c>
      <c r="J52" s="783" t="str">
        <f>CONCATENATE("Impact On Keeping The Same Mill Rate As For ",H2-1,"")</f>
        <v>Impact On Keeping The Same Mill Rate As For 2025</v>
      </c>
      <c r="K52" s="790"/>
      <c r="L52" s="790"/>
      <c r="M52" s="791"/>
    </row>
    <row r="53" spans="1:14" ht="16" thickTop="1" x14ac:dyDescent="0.35">
      <c r="A53" s="800" t="s">
        <v>561</v>
      </c>
      <c r="B53" s="801"/>
      <c r="C53" s="801"/>
      <c r="D53" s="801"/>
      <c r="E53" s="801"/>
      <c r="F53" s="801"/>
      <c r="G53" s="802"/>
      <c r="H53" s="576">
        <f>inputOth!D20</f>
        <v>33.582999999999998</v>
      </c>
      <c r="I53" s="329"/>
      <c r="J53" s="321"/>
      <c r="K53" s="315"/>
      <c r="L53" s="315"/>
      <c r="M53" s="322"/>
    </row>
    <row r="54" spans="1:14" x14ac:dyDescent="0.35">
      <c r="A54" s="29" t="s">
        <v>80</v>
      </c>
      <c r="B54" s="297">
        <f>Transfers!D41</f>
        <v>5323963</v>
      </c>
      <c r="C54" s="358"/>
      <c r="D54" s="297">
        <f>Transfers!E41</f>
        <v>3827337</v>
      </c>
      <c r="E54" s="240"/>
      <c r="F54" s="297">
        <f>Transfers!F41</f>
        <v>4089455</v>
      </c>
      <c r="G54" s="356"/>
      <c r="H54" s="240"/>
      <c r="J54" s="321" t="str">
        <f>CONCATENATE("",H2," Ad Valorem Tax Revenue:")</f>
        <v>2026 Ad Valorem Tax Revenue:</v>
      </c>
      <c r="K54" s="315"/>
      <c r="L54" s="315"/>
      <c r="M54" s="316">
        <f>G52</f>
        <v>2247354.5300000003</v>
      </c>
    </row>
    <row r="55" spans="1:14" ht="16" thickBot="1" x14ac:dyDescent="0.4">
      <c r="A55" s="29" t="s">
        <v>81</v>
      </c>
      <c r="B55" s="237">
        <f>B52-B54</f>
        <v>18323705</v>
      </c>
      <c r="C55" s="28"/>
      <c r="D55" s="237">
        <f>D52-D54</f>
        <v>17873616</v>
      </c>
      <c r="E55" s="28"/>
      <c r="F55" s="237">
        <f>F52-F54</f>
        <v>21485808.239999998</v>
      </c>
      <c r="G55" s="28"/>
      <c r="H55" s="28"/>
      <c r="J55" s="321" t="str">
        <f>CONCATENATE("",H2-1," Ad Valorem Tax Revenue:")</f>
        <v>2025 Ad Valorem Tax Revenue:</v>
      </c>
      <c r="K55" s="315"/>
      <c r="L55" s="315"/>
      <c r="M55" s="328">
        <f>ROUND(F58*M47/1000,0)</f>
        <v>2247355</v>
      </c>
    </row>
    <row r="56" spans="1:14" ht="16" thickTop="1" x14ac:dyDescent="0.35">
      <c r="A56" s="29" t="s">
        <v>82</v>
      </c>
      <c r="B56" s="297">
        <f>inputPrYr!$E$100</f>
        <v>2008416</v>
      </c>
      <c r="C56" s="47"/>
      <c r="D56" s="297">
        <f>inputPrYr!$E$32</f>
        <v>2159733</v>
      </c>
      <c r="E56" s="47"/>
      <c r="F56" s="228" t="s">
        <v>49</v>
      </c>
      <c r="G56" s="28"/>
      <c r="H56" s="28"/>
      <c r="J56" s="326" t="s">
        <v>341</v>
      </c>
      <c r="K56" s="327"/>
      <c r="L56" s="327"/>
      <c r="M56" s="319">
        <f>SUM(M54-M55)</f>
        <v>-0.46999999973922968</v>
      </c>
    </row>
    <row r="57" spans="1:14" x14ac:dyDescent="0.35">
      <c r="A57" s="29" t="s">
        <v>83</v>
      </c>
      <c r="B57" s="114"/>
      <c r="C57" s="28"/>
      <c r="D57" s="298"/>
      <c r="E57" s="115"/>
      <c r="F57" s="95"/>
      <c r="G57" s="28"/>
      <c r="H57" s="28"/>
      <c r="J57" s="320"/>
      <c r="K57" s="320"/>
      <c r="L57" s="320"/>
      <c r="M57" s="320"/>
    </row>
    <row r="58" spans="1:14" x14ac:dyDescent="0.3">
      <c r="A58" s="29" t="s">
        <v>84</v>
      </c>
      <c r="B58" s="297">
        <f>inputPrYr!$E$101</f>
        <v>60585208</v>
      </c>
      <c r="C58" s="28"/>
      <c r="D58" s="297">
        <f>inputOth!$E$39</f>
        <v>63771164</v>
      </c>
      <c r="E58" s="28"/>
      <c r="F58" s="297">
        <f>inputOth!$E$7</f>
        <v>65330073</v>
      </c>
      <c r="G58" s="28"/>
      <c r="H58" s="28"/>
      <c r="J58" s="783" t="s">
        <v>342</v>
      </c>
      <c r="K58" s="788"/>
      <c r="L58" s="788"/>
      <c r="M58" s="789"/>
    </row>
    <row r="59" spans="1:14" x14ac:dyDescent="0.35">
      <c r="A59" s="29" t="s">
        <v>85</v>
      </c>
      <c r="B59" s="28"/>
      <c r="C59" s="28"/>
      <c r="D59" s="28"/>
      <c r="E59" s="28"/>
      <c r="F59" s="28"/>
      <c r="G59" s="28"/>
      <c r="H59" s="28"/>
      <c r="J59" s="321"/>
      <c r="K59" s="315"/>
      <c r="L59" s="315"/>
      <c r="M59" s="322"/>
    </row>
    <row r="60" spans="1:14" ht="13.5" customHeight="1" x14ac:dyDescent="0.35">
      <c r="A60" s="29" t="s">
        <v>86</v>
      </c>
      <c r="B60" s="229">
        <f>$H$2-3</f>
        <v>2023</v>
      </c>
      <c r="C60" s="28"/>
      <c r="D60" s="229">
        <f>$H$2-2</f>
        <v>2024</v>
      </c>
      <c r="E60" s="28"/>
      <c r="F60" s="229">
        <f>$H$2-1</f>
        <v>2025</v>
      </c>
      <c r="G60" s="28"/>
      <c r="H60" s="28"/>
      <c r="J60" s="321" t="str">
        <f>CONCATENATE("Current ",H2," Estimated Mill Rate:")</f>
        <v>Current 2026 Estimated Mill Rate:</v>
      </c>
      <c r="K60" s="315"/>
      <c r="L60" s="315"/>
      <c r="M60" s="323">
        <f>H52</f>
        <v>34.4</v>
      </c>
      <c r="N60" s="24" t="s">
        <v>1159</v>
      </c>
    </row>
    <row r="61" spans="1:14" x14ac:dyDescent="0.35">
      <c r="A61" s="29" t="s">
        <v>87</v>
      </c>
      <c r="B61" s="153">
        <f>inputPrYr!$D$105</f>
        <v>10166000</v>
      </c>
      <c r="C61" s="109"/>
      <c r="D61" s="153">
        <f>inputPrYr!$E$105</f>
        <v>9457000</v>
      </c>
      <c r="E61" s="109"/>
      <c r="F61" s="153">
        <f>Debt!$G$20</f>
        <v>8717000</v>
      </c>
      <c r="G61" s="28"/>
      <c r="H61" s="28"/>
      <c r="J61" s="321" t="str">
        <f>CONCATENATE("Desired ",H2," Mill Rate:")</f>
        <v>Desired 2026 Mill Rate:</v>
      </c>
      <c r="K61" s="315"/>
      <c r="L61" s="315"/>
      <c r="M61" s="313">
        <v>33.058779999999999</v>
      </c>
      <c r="N61" s="24" t="s">
        <v>1158</v>
      </c>
    </row>
    <row r="62" spans="1:14" ht="18.75" customHeight="1" x14ac:dyDescent="0.35">
      <c r="A62" s="29" t="s">
        <v>88</v>
      </c>
      <c r="B62" s="297">
        <f>inputPrYr!$D$106</f>
        <v>0</v>
      </c>
      <c r="C62" s="109"/>
      <c r="D62" s="297">
        <f>inputPrYr!$E$106</f>
        <v>0</v>
      </c>
      <c r="E62" s="109"/>
      <c r="F62" s="153">
        <f>Debt!$G$32</f>
        <v>0</v>
      </c>
      <c r="G62" s="28"/>
      <c r="H62" s="28"/>
      <c r="J62" s="321" t="str">
        <f>CONCATENATE("",H2," Ad Valorem Tax:")</f>
        <v>2026 Ad Valorem Tax:</v>
      </c>
      <c r="K62" s="315"/>
      <c r="L62" s="315"/>
      <c r="M62" s="328">
        <f>ROUND(F58*M61/1000,0)</f>
        <v>2159733</v>
      </c>
    </row>
    <row r="63" spans="1:14" ht="18.75" customHeight="1" x14ac:dyDescent="0.35">
      <c r="A63" s="28" t="s">
        <v>106</v>
      </c>
      <c r="B63" s="297">
        <f>inputPrYr!$D$107</f>
        <v>2345741</v>
      </c>
      <c r="C63" s="109"/>
      <c r="D63" s="297">
        <f>inputPrYr!$E$107</f>
        <v>1849268</v>
      </c>
      <c r="E63" s="109"/>
      <c r="F63" s="153">
        <f>Debt!$G$42</f>
        <v>1338947</v>
      </c>
      <c r="G63" s="28"/>
      <c r="H63" s="28"/>
      <c r="J63" s="326" t="str">
        <f>CONCATENATE("",H2," Tax Levy Fund Exp. Changed By:")</f>
        <v>2026 Tax Levy Fund Exp. Changed By:</v>
      </c>
      <c r="K63" s="327"/>
      <c r="L63" s="327"/>
      <c r="M63" s="319">
        <f>IF(M61=0,0,(M62-G52))</f>
        <v>-87621.530000000261</v>
      </c>
      <c r="N63" s="24" t="s">
        <v>1160</v>
      </c>
    </row>
    <row r="64" spans="1:14" ht="18.75" customHeight="1" x14ac:dyDescent="0.25">
      <c r="A64" s="29" t="s">
        <v>140</v>
      </c>
      <c r="B64" s="297">
        <f>inputPrYr!$D$108</f>
        <v>553518</v>
      </c>
      <c r="C64" s="109"/>
      <c r="D64" s="297">
        <f>inputPrYr!$E$108</f>
        <v>422001</v>
      </c>
      <c r="E64" s="109"/>
      <c r="F64" s="153">
        <f>'LP Form'!$G$28</f>
        <v>286918</v>
      </c>
      <c r="G64" s="28"/>
      <c r="H64" s="28"/>
    </row>
    <row r="65" spans="1:13" ht="18.75" customHeight="1" thickBot="1" x14ac:dyDescent="0.3">
      <c r="A65" s="29" t="s">
        <v>89</v>
      </c>
      <c r="B65" s="359">
        <f>SUM(B61:B64)</f>
        <v>13065259</v>
      </c>
      <c r="C65" s="109"/>
      <c r="D65" s="359">
        <f>SUM(D61:D64)</f>
        <v>11728269</v>
      </c>
      <c r="E65" s="109"/>
      <c r="F65" s="359">
        <f>SUM(F61:F64)</f>
        <v>10342865</v>
      </c>
      <c r="G65" s="28"/>
      <c r="H65" s="28"/>
      <c r="J65" s="803" t="s">
        <v>710</v>
      </c>
      <c r="K65" s="804"/>
      <c r="L65" s="804"/>
      <c r="M65" s="796" t="str">
        <f>IF(H52&gt;H53, "Yes", "No")</f>
        <v>Yes</v>
      </c>
    </row>
    <row r="66" spans="1:13" ht="16" thickTop="1" x14ac:dyDescent="0.25">
      <c r="A66" s="29" t="s">
        <v>90</v>
      </c>
      <c r="B66" s="28"/>
      <c r="C66" s="28"/>
      <c r="D66" s="28"/>
      <c r="E66" s="28"/>
      <c r="F66" s="28"/>
      <c r="G66" s="28"/>
      <c r="H66" s="28"/>
      <c r="J66" s="805"/>
      <c r="K66" s="806"/>
      <c r="L66" s="806"/>
      <c r="M66" s="797"/>
    </row>
    <row r="67" spans="1:13" x14ac:dyDescent="0.25">
      <c r="A67" s="547" t="s">
        <v>702</v>
      </c>
      <c r="B67" s="28"/>
      <c r="C67" s="28"/>
      <c r="D67" s="28"/>
      <c r="E67" s="28"/>
      <c r="F67" s="28"/>
      <c r="G67" s="28"/>
      <c r="H67" s="28"/>
      <c r="J67" s="768" t="str">
        <f>IF(M65="Yes", "Follow procedure prescirbed by KSA 79-2988 to exceed the Revenue Neutral Rate.", " ")</f>
        <v>Follow procedure prescirbed by KSA 79-2988 to exceed the Revenue Neutral Rate.</v>
      </c>
      <c r="K67" s="768"/>
      <c r="L67" s="768"/>
      <c r="M67" s="768"/>
    </row>
    <row r="68" spans="1:13" x14ac:dyDescent="0.25">
      <c r="A68" s="28"/>
      <c r="B68" s="28"/>
      <c r="C68" s="28"/>
      <c r="D68" s="28"/>
      <c r="E68" s="28"/>
      <c r="F68" s="28"/>
      <c r="G68" s="28"/>
      <c r="H68" s="28"/>
      <c r="J68" s="769"/>
      <c r="K68" s="769"/>
      <c r="L68" s="769"/>
      <c r="M68" s="769"/>
    </row>
    <row r="69" spans="1:13" x14ac:dyDescent="0.25">
      <c r="A69" s="787" t="str">
        <f>inputHearing!B28</f>
        <v>Joni L. Ketchum</v>
      </c>
      <c r="B69" s="787"/>
      <c r="C69" s="28"/>
      <c r="D69" s="28"/>
      <c r="E69" s="28"/>
      <c r="F69" s="28"/>
      <c r="G69" s="28"/>
      <c r="H69" s="28"/>
      <c r="J69" s="769"/>
      <c r="K69" s="769"/>
      <c r="L69" s="769"/>
      <c r="M69" s="769"/>
    </row>
    <row r="70" spans="1:13" x14ac:dyDescent="0.25">
      <c r="A70" s="107" t="s">
        <v>166</v>
      </c>
      <c r="B70" s="371" t="str">
        <f>inputHearing!B30</f>
        <v>City Clerk</v>
      </c>
      <c r="C70" s="28"/>
      <c r="D70" s="28"/>
      <c r="E70" s="28"/>
      <c r="F70" s="28"/>
      <c r="G70" s="28"/>
      <c r="H70" s="28"/>
    </row>
    <row r="71" spans="1:13" x14ac:dyDescent="0.25">
      <c r="A71" s="28"/>
      <c r="B71" s="28"/>
      <c r="C71" s="28"/>
      <c r="D71" s="28"/>
      <c r="E71" s="28"/>
      <c r="F71" s="28"/>
      <c r="G71" s="28"/>
      <c r="H71" s="28"/>
    </row>
    <row r="72" spans="1:13" x14ac:dyDescent="0.25">
      <c r="A72" s="28"/>
      <c r="B72" s="28"/>
      <c r="C72" s="80" t="s">
        <v>66</v>
      </c>
      <c r="D72" s="465">
        <v>19</v>
      </c>
      <c r="E72" s="28"/>
      <c r="F72" s="28"/>
      <c r="G72" s="28"/>
      <c r="H72" s="28"/>
    </row>
  </sheetData>
  <mergeCells count="22">
    <mergeCell ref="A7:H7"/>
    <mergeCell ref="A1:H1"/>
    <mergeCell ref="A3:H3"/>
    <mergeCell ref="A4:H4"/>
    <mergeCell ref="A5:H5"/>
    <mergeCell ref="A6:H6"/>
    <mergeCell ref="J65:L66"/>
    <mergeCell ref="M65:M66"/>
    <mergeCell ref="J67:M69"/>
    <mergeCell ref="A69:B69"/>
    <mergeCell ref="H13:H14"/>
    <mergeCell ref="J41:M41"/>
    <mergeCell ref="J45:M45"/>
    <mergeCell ref="J52:M52"/>
    <mergeCell ref="A53:G53"/>
    <mergeCell ref="J58:M58"/>
    <mergeCell ref="B13:B14"/>
    <mergeCell ref="C13:C14"/>
    <mergeCell ref="D13:D14"/>
    <mergeCell ref="E13:E14"/>
    <mergeCell ref="F13:F14"/>
    <mergeCell ref="G13:G14"/>
  </mergeCells>
  <conditionalFormatting sqref="M65:M66">
    <cfRule type="containsText" dxfId="0" priority="1" operator="containsText" text="Yes">
      <formula>NOT(ISERROR(SEARCH("Yes",M65)))</formula>
    </cfRule>
  </conditionalFormatting>
  <printOptions horizontalCentered="1"/>
  <pageMargins left="0" right="0" top="0.5" bottom="0" header="0.5" footer="0"/>
  <pageSetup scale="52" orientation="portrait" blackAndWhite="1" r:id="rId1"/>
  <headerFooter alignWithMargins="0">
    <oddHeader>&amp;RState of Kansas
City</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C1AE0-C1D4-467F-BBC9-647DAE07CAC2}">
  <sheetPr>
    <tabColor rgb="FFFDD571"/>
  </sheetPr>
  <dimension ref="A1"/>
  <sheetViews>
    <sheetView workbookViewId="0"/>
  </sheetViews>
  <sheetFormatPr defaultRowHeight="12.5" x14ac:dyDescent="0.25"/>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7B532-35D8-466D-924C-5007C5C4EF68}">
  <sheetPr>
    <tabColor rgb="FFFDD571"/>
  </sheetPr>
  <dimension ref="A1"/>
  <sheetViews>
    <sheetView workbookViewId="0">
      <selection activeCell="O34" sqref="O34"/>
    </sheetView>
  </sheetViews>
  <sheetFormatPr defaultRowHeight="12.5" x14ac:dyDescent="0.2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787B7-6D73-4393-9EC0-909A259F1A88}">
  <sheetPr codeName="Sheet40">
    <tabColor rgb="FF00B0F0"/>
    <pageSetUpPr fitToPage="1"/>
  </sheetPr>
  <dimension ref="A1:H37"/>
  <sheetViews>
    <sheetView workbookViewId="0">
      <selection activeCell="E17" sqref="E17"/>
    </sheetView>
  </sheetViews>
  <sheetFormatPr defaultRowHeight="15.5" x14ac:dyDescent="0.25"/>
  <cols>
    <col min="1" max="1" width="14.08203125" style="24" customWidth="1"/>
    <col min="2" max="2" width="12.75" style="24" customWidth="1"/>
    <col min="3" max="3" width="8.75" style="24" customWidth="1"/>
    <col min="4" max="4" width="7.33203125" style="24" customWidth="1"/>
    <col min="5" max="5" width="8.58203125" style="24" customWidth="1"/>
    <col min="6" max="6" width="12.75" style="24" customWidth="1"/>
    <col min="7" max="7" width="11.9140625" style="24" customWidth="1"/>
    <col min="8" max="8" width="14.08203125" style="24" customWidth="1"/>
    <col min="9" max="252" width="8.9140625" style="24"/>
    <col min="253" max="253" width="15.75" style="24" customWidth="1"/>
    <col min="254" max="254" width="12.75" style="24" customWidth="1"/>
    <col min="255" max="255" width="8.75" style="24" customWidth="1"/>
    <col min="256" max="256" width="13.75" style="24" customWidth="1"/>
    <col min="257" max="257" width="8.75" style="24" customWidth="1"/>
    <col min="258" max="258" width="12.75" style="24" customWidth="1"/>
    <col min="259" max="259" width="10.75" style="24" customWidth="1"/>
    <col min="260" max="260" width="8.75" style="24" customWidth="1"/>
    <col min="261" max="261" width="8.9140625" style="24"/>
    <col min="262" max="262" width="12.4140625" style="24" customWidth="1"/>
    <col min="263" max="263" width="12.33203125" style="24" customWidth="1"/>
    <col min="264" max="264" width="8.9140625" style="24"/>
    <col min="265" max="265" width="12.08203125" style="24" customWidth="1"/>
    <col min="266" max="508" width="8.9140625" style="24"/>
    <col min="509" max="509" width="15.75" style="24" customWidth="1"/>
    <col min="510" max="510" width="12.75" style="24" customWidth="1"/>
    <col min="511" max="511" width="8.75" style="24" customWidth="1"/>
    <col min="512" max="512" width="13.75" style="24" customWidth="1"/>
    <col min="513" max="513" width="8.75" style="24" customWidth="1"/>
    <col min="514" max="514" width="12.75" style="24" customWidth="1"/>
    <col min="515" max="515" width="10.75" style="24" customWidth="1"/>
    <col min="516" max="516" width="8.75" style="24" customWidth="1"/>
    <col min="517" max="517" width="8.9140625" style="24"/>
    <col min="518" max="518" width="12.4140625" style="24" customWidth="1"/>
    <col min="519" max="519" width="12.33203125" style="24" customWidth="1"/>
    <col min="520" max="520" width="8.9140625" style="24"/>
    <col min="521" max="521" width="12.08203125" style="24" customWidth="1"/>
    <col min="522" max="764" width="8.9140625" style="24"/>
    <col min="765" max="765" width="15.75" style="24" customWidth="1"/>
    <col min="766" max="766" width="12.75" style="24" customWidth="1"/>
    <col min="767" max="767" width="8.75" style="24" customWidth="1"/>
    <col min="768" max="768" width="13.75" style="24" customWidth="1"/>
    <col min="769" max="769" width="8.75" style="24" customWidth="1"/>
    <col min="770" max="770" width="12.75" style="24" customWidth="1"/>
    <col min="771" max="771" width="10.75" style="24" customWidth="1"/>
    <col min="772" max="772" width="8.75" style="24" customWidth="1"/>
    <col min="773" max="773" width="8.9140625" style="24"/>
    <col min="774" max="774" width="12.4140625" style="24" customWidth="1"/>
    <col min="775" max="775" width="12.33203125" style="24" customWidth="1"/>
    <col min="776" max="776" width="8.9140625" style="24"/>
    <col min="777" max="777" width="12.08203125" style="24" customWidth="1"/>
    <col min="778" max="1020" width="8.9140625" style="24"/>
    <col min="1021" max="1021" width="15.75" style="24" customWidth="1"/>
    <col min="1022" max="1022" width="12.75" style="24" customWidth="1"/>
    <col min="1023" max="1023" width="8.75" style="24" customWidth="1"/>
    <col min="1024" max="1024" width="13.75" style="24" customWidth="1"/>
    <col min="1025" max="1025" width="8.75" style="24" customWidth="1"/>
    <col min="1026" max="1026" width="12.75" style="24" customWidth="1"/>
    <col min="1027" max="1027" width="10.75" style="24" customWidth="1"/>
    <col min="1028" max="1028" width="8.75" style="24" customWidth="1"/>
    <col min="1029" max="1029" width="8.9140625" style="24"/>
    <col min="1030" max="1030" width="12.4140625" style="24" customWidth="1"/>
    <col min="1031" max="1031" width="12.33203125" style="24" customWidth="1"/>
    <col min="1032" max="1032" width="8.9140625" style="24"/>
    <col min="1033" max="1033" width="12.08203125" style="24" customWidth="1"/>
    <col min="1034" max="1276" width="8.9140625" style="24"/>
    <col min="1277" max="1277" width="15.75" style="24" customWidth="1"/>
    <col min="1278" max="1278" width="12.75" style="24" customWidth="1"/>
    <col min="1279" max="1279" width="8.75" style="24" customWidth="1"/>
    <col min="1280" max="1280" width="13.75" style="24" customWidth="1"/>
    <col min="1281" max="1281" width="8.75" style="24" customWidth="1"/>
    <col min="1282" max="1282" width="12.75" style="24" customWidth="1"/>
    <col min="1283" max="1283" width="10.75" style="24" customWidth="1"/>
    <col min="1284" max="1284" width="8.75" style="24" customWidth="1"/>
    <col min="1285" max="1285" width="8.9140625" style="24"/>
    <col min="1286" max="1286" width="12.4140625" style="24" customWidth="1"/>
    <col min="1287" max="1287" width="12.33203125" style="24" customWidth="1"/>
    <col min="1288" max="1288" width="8.9140625" style="24"/>
    <col min="1289" max="1289" width="12.08203125" style="24" customWidth="1"/>
    <col min="1290" max="1532" width="8.9140625" style="24"/>
    <col min="1533" max="1533" width="15.75" style="24" customWidth="1"/>
    <col min="1534" max="1534" width="12.75" style="24" customWidth="1"/>
    <col min="1535" max="1535" width="8.75" style="24" customWidth="1"/>
    <col min="1536" max="1536" width="13.75" style="24" customWidth="1"/>
    <col min="1537" max="1537" width="8.75" style="24" customWidth="1"/>
    <col min="1538" max="1538" width="12.75" style="24" customWidth="1"/>
    <col min="1539" max="1539" width="10.75" style="24" customWidth="1"/>
    <col min="1540" max="1540" width="8.75" style="24" customWidth="1"/>
    <col min="1541" max="1541" width="8.9140625" style="24"/>
    <col min="1542" max="1542" width="12.4140625" style="24" customWidth="1"/>
    <col min="1543" max="1543" width="12.33203125" style="24" customWidth="1"/>
    <col min="1544" max="1544" width="8.9140625" style="24"/>
    <col min="1545" max="1545" width="12.08203125" style="24" customWidth="1"/>
    <col min="1546" max="1788" width="8.9140625" style="24"/>
    <col min="1789" max="1789" width="15.75" style="24" customWidth="1"/>
    <col min="1790" max="1790" width="12.75" style="24" customWidth="1"/>
    <col min="1791" max="1791" width="8.75" style="24" customWidth="1"/>
    <col min="1792" max="1792" width="13.75" style="24" customWidth="1"/>
    <col min="1793" max="1793" width="8.75" style="24" customWidth="1"/>
    <col min="1794" max="1794" width="12.75" style="24" customWidth="1"/>
    <col min="1795" max="1795" width="10.75" style="24" customWidth="1"/>
    <col min="1796" max="1796" width="8.75" style="24" customWidth="1"/>
    <col min="1797" max="1797" width="8.9140625" style="24"/>
    <col min="1798" max="1798" width="12.4140625" style="24" customWidth="1"/>
    <col min="1799" max="1799" width="12.33203125" style="24" customWidth="1"/>
    <col min="1800" max="1800" width="8.9140625" style="24"/>
    <col min="1801" max="1801" width="12.08203125" style="24" customWidth="1"/>
    <col min="1802" max="2044" width="8.9140625" style="24"/>
    <col min="2045" max="2045" width="15.75" style="24" customWidth="1"/>
    <col min="2046" max="2046" width="12.75" style="24" customWidth="1"/>
    <col min="2047" max="2047" width="8.75" style="24" customWidth="1"/>
    <col min="2048" max="2048" width="13.75" style="24" customWidth="1"/>
    <col min="2049" max="2049" width="8.75" style="24" customWidth="1"/>
    <col min="2050" max="2050" width="12.75" style="24" customWidth="1"/>
    <col min="2051" max="2051" width="10.75" style="24" customWidth="1"/>
    <col min="2052" max="2052" width="8.75" style="24" customWidth="1"/>
    <col min="2053" max="2053" width="8.9140625" style="24"/>
    <col min="2054" max="2054" width="12.4140625" style="24" customWidth="1"/>
    <col min="2055" max="2055" width="12.33203125" style="24" customWidth="1"/>
    <col min="2056" max="2056" width="8.9140625" style="24"/>
    <col min="2057" max="2057" width="12.08203125" style="24" customWidth="1"/>
    <col min="2058" max="2300" width="8.9140625" style="24"/>
    <col min="2301" max="2301" width="15.75" style="24" customWidth="1"/>
    <col min="2302" max="2302" width="12.75" style="24" customWidth="1"/>
    <col min="2303" max="2303" width="8.75" style="24" customWidth="1"/>
    <col min="2304" max="2304" width="13.75" style="24" customWidth="1"/>
    <col min="2305" max="2305" width="8.75" style="24" customWidth="1"/>
    <col min="2306" max="2306" width="12.75" style="24" customWidth="1"/>
    <col min="2307" max="2307" width="10.75" style="24" customWidth="1"/>
    <col min="2308" max="2308" width="8.75" style="24" customWidth="1"/>
    <col min="2309" max="2309" width="8.9140625" style="24"/>
    <col min="2310" max="2310" width="12.4140625" style="24" customWidth="1"/>
    <col min="2311" max="2311" width="12.33203125" style="24" customWidth="1"/>
    <col min="2312" max="2312" width="8.9140625" style="24"/>
    <col min="2313" max="2313" width="12.08203125" style="24" customWidth="1"/>
    <col min="2314" max="2556" width="8.9140625" style="24"/>
    <col min="2557" max="2557" width="15.75" style="24" customWidth="1"/>
    <col min="2558" max="2558" width="12.75" style="24" customWidth="1"/>
    <col min="2559" max="2559" width="8.75" style="24" customWidth="1"/>
    <col min="2560" max="2560" width="13.75" style="24" customWidth="1"/>
    <col min="2561" max="2561" width="8.75" style="24" customWidth="1"/>
    <col min="2562" max="2562" width="12.75" style="24" customWidth="1"/>
    <col min="2563" max="2563" width="10.75" style="24" customWidth="1"/>
    <col min="2564" max="2564" width="8.75" style="24" customWidth="1"/>
    <col min="2565" max="2565" width="8.9140625" style="24"/>
    <col min="2566" max="2566" width="12.4140625" style="24" customWidth="1"/>
    <col min="2567" max="2567" width="12.33203125" style="24" customWidth="1"/>
    <col min="2568" max="2568" width="8.9140625" style="24"/>
    <col min="2569" max="2569" width="12.08203125" style="24" customWidth="1"/>
    <col min="2570" max="2812" width="8.9140625" style="24"/>
    <col min="2813" max="2813" width="15.75" style="24" customWidth="1"/>
    <col min="2814" max="2814" width="12.75" style="24" customWidth="1"/>
    <col min="2815" max="2815" width="8.75" style="24" customWidth="1"/>
    <col min="2816" max="2816" width="13.75" style="24" customWidth="1"/>
    <col min="2817" max="2817" width="8.75" style="24" customWidth="1"/>
    <col min="2818" max="2818" width="12.75" style="24" customWidth="1"/>
    <col min="2819" max="2819" width="10.75" style="24" customWidth="1"/>
    <col min="2820" max="2820" width="8.75" style="24" customWidth="1"/>
    <col min="2821" max="2821" width="8.9140625" style="24"/>
    <col min="2822" max="2822" width="12.4140625" style="24" customWidth="1"/>
    <col min="2823" max="2823" width="12.33203125" style="24" customWidth="1"/>
    <col min="2824" max="2824" width="8.9140625" style="24"/>
    <col min="2825" max="2825" width="12.08203125" style="24" customWidth="1"/>
    <col min="2826" max="3068" width="8.9140625" style="24"/>
    <col min="3069" max="3069" width="15.75" style="24" customWidth="1"/>
    <col min="3070" max="3070" width="12.75" style="24" customWidth="1"/>
    <col min="3071" max="3071" width="8.75" style="24" customWidth="1"/>
    <col min="3072" max="3072" width="13.75" style="24" customWidth="1"/>
    <col min="3073" max="3073" width="8.75" style="24" customWidth="1"/>
    <col min="3074" max="3074" width="12.75" style="24" customWidth="1"/>
    <col min="3075" max="3075" width="10.75" style="24" customWidth="1"/>
    <col min="3076" max="3076" width="8.75" style="24" customWidth="1"/>
    <col min="3077" max="3077" width="8.9140625" style="24"/>
    <col min="3078" max="3078" width="12.4140625" style="24" customWidth="1"/>
    <col min="3079" max="3079" width="12.33203125" style="24" customWidth="1"/>
    <col min="3080" max="3080" width="8.9140625" style="24"/>
    <col min="3081" max="3081" width="12.08203125" style="24" customWidth="1"/>
    <col min="3082" max="3324" width="8.9140625" style="24"/>
    <col min="3325" max="3325" width="15.75" style="24" customWidth="1"/>
    <col min="3326" max="3326" width="12.75" style="24" customWidth="1"/>
    <col min="3327" max="3327" width="8.75" style="24" customWidth="1"/>
    <col min="3328" max="3328" width="13.75" style="24" customWidth="1"/>
    <col min="3329" max="3329" width="8.75" style="24" customWidth="1"/>
    <col min="3330" max="3330" width="12.75" style="24" customWidth="1"/>
    <col min="3331" max="3331" width="10.75" style="24" customWidth="1"/>
    <col min="3332" max="3332" width="8.75" style="24" customWidth="1"/>
    <col min="3333" max="3333" width="8.9140625" style="24"/>
    <col min="3334" max="3334" width="12.4140625" style="24" customWidth="1"/>
    <col min="3335" max="3335" width="12.33203125" style="24" customWidth="1"/>
    <col min="3336" max="3336" width="8.9140625" style="24"/>
    <col min="3337" max="3337" width="12.08203125" style="24" customWidth="1"/>
    <col min="3338" max="3580" width="8.9140625" style="24"/>
    <col min="3581" max="3581" width="15.75" style="24" customWidth="1"/>
    <col min="3582" max="3582" width="12.75" style="24" customWidth="1"/>
    <col min="3583" max="3583" width="8.75" style="24" customWidth="1"/>
    <col min="3584" max="3584" width="13.75" style="24" customWidth="1"/>
    <col min="3585" max="3585" width="8.75" style="24" customWidth="1"/>
    <col min="3586" max="3586" width="12.75" style="24" customWidth="1"/>
    <col min="3587" max="3587" width="10.75" style="24" customWidth="1"/>
    <col min="3588" max="3588" width="8.75" style="24" customWidth="1"/>
    <col min="3589" max="3589" width="8.9140625" style="24"/>
    <col min="3590" max="3590" width="12.4140625" style="24" customWidth="1"/>
    <col min="3591" max="3591" width="12.33203125" style="24" customWidth="1"/>
    <col min="3592" max="3592" width="8.9140625" style="24"/>
    <col min="3593" max="3593" width="12.08203125" style="24" customWidth="1"/>
    <col min="3594" max="3836" width="8.9140625" style="24"/>
    <col min="3837" max="3837" width="15.75" style="24" customWidth="1"/>
    <col min="3838" max="3838" width="12.75" style="24" customWidth="1"/>
    <col min="3839" max="3839" width="8.75" style="24" customWidth="1"/>
    <col min="3840" max="3840" width="13.75" style="24" customWidth="1"/>
    <col min="3841" max="3841" width="8.75" style="24" customWidth="1"/>
    <col min="3842" max="3842" width="12.75" style="24" customWidth="1"/>
    <col min="3843" max="3843" width="10.75" style="24" customWidth="1"/>
    <col min="3844" max="3844" width="8.75" style="24" customWidth="1"/>
    <col min="3845" max="3845" width="8.9140625" style="24"/>
    <col min="3846" max="3846" width="12.4140625" style="24" customWidth="1"/>
    <col min="3847" max="3847" width="12.33203125" style="24" customWidth="1"/>
    <col min="3848" max="3848" width="8.9140625" style="24"/>
    <col min="3849" max="3849" width="12.08203125" style="24" customWidth="1"/>
    <col min="3850" max="4092" width="8.9140625" style="24"/>
    <col min="4093" max="4093" width="15.75" style="24" customWidth="1"/>
    <col min="4094" max="4094" width="12.75" style="24" customWidth="1"/>
    <col min="4095" max="4095" width="8.75" style="24" customWidth="1"/>
    <col min="4096" max="4096" width="13.75" style="24" customWidth="1"/>
    <col min="4097" max="4097" width="8.75" style="24" customWidth="1"/>
    <col min="4098" max="4098" width="12.75" style="24" customWidth="1"/>
    <col min="4099" max="4099" width="10.75" style="24" customWidth="1"/>
    <col min="4100" max="4100" width="8.75" style="24" customWidth="1"/>
    <col min="4101" max="4101" width="8.9140625" style="24"/>
    <col min="4102" max="4102" width="12.4140625" style="24" customWidth="1"/>
    <col min="4103" max="4103" width="12.33203125" style="24" customWidth="1"/>
    <col min="4104" max="4104" width="8.9140625" style="24"/>
    <col min="4105" max="4105" width="12.08203125" style="24" customWidth="1"/>
    <col min="4106" max="4348" width="8.9140625" style="24"/>
    <col min="4349" max="4349" width="15.75" style="24" customWidth="1"/>
    <col min="4350" max="4350" width="12.75" style="24" customWidth="1"/>
    <col min="4351" max="4351" width="8.75" style="24" customWidth="1"/>
    <col min="4352" max="4352" width="13.75" style="24" customWidth="1"/>
    <col min="4353" max="4353" width="8.75" style="24" customWidth="1"/>
    <col min="4354" max="4354" width="12.75" style="24" customWidth="1"/>
    <col min="4355" max="4355" width="10.75" style="24" customWidth="1"/>
    <col min="4356" max="4356" width="8.75" style="24" customWidth="1"/>
    <col min="4357" max="4357" width="8.9140625" style="24"/>
    <col min="4358" max="4358" width="12.4140625" style="24" customWidth="1"/>
    <col min="4359" max="4359" width="12.33203125" style="24" customWidth="1"/>
    <col min="4360" max="4360" width="8.9140625" style="24"/>
    <col min="4361" max="4361" width="12.08203125" style="24" customWidth="1"/>
    <col min="4362" max="4604" width="8.9140625" style="24"/>
    <col min="4605" max="4605" width="15.75" style="24" customWidth="1"/>
    <col min="4606" max="4606" width="12.75" style="24" customWidth="1"/>
    <col min="4607" max="4607" width="8.75" style="24" customWidth="1"/>
    <col min="4608" max="4608" width="13.75" style="24" customWidth="1"/>
    <col min="4609" max="4609" width="8.75" style="24" customWidth="1"/>
    <col min="4610" max="4610" width="12.75" style="24" customWidth="1"/>
    <col min="4611" max="4611" width="10.75" style="24" customWidth="1"/>
    <col min="4612" max="4612" width="8.75" style="24" customWidth="1"/>
    <col min="4613" max="4613" width="8.9140625" style="24"/>
    <col min="4614" max="4614" width="12.4140625" style="24" customWidth="1"/>
    <col min="4615" max="4615" width="12.33203125" style="24" customWidth="1"/>
    <col min="4616" max="4616" width="8.9140625" style="24"/>
    <col min="4617" max="4617" width="12.08203125" style="24" customWidth="1"/>
    <col min="4618" max="4860" width="8.9140625" style="24"/>
    <col min="4861" max="4861" width="15.75" style="24" customWidth="1"/>
    <col min="4862" max="4862" width="12.75" style="24" customWidth="1"/>
    <col min="4863" max="4863" width="8.75" style="24" customWidth="1"/>
    <col min="4864" max="4864" width="13.75" style="24" customWidth="1"/>
    <col min="4865" max="4865" width="8.75" style="24" customWidth="1"/>
    <col min="4866" max="4866" width="12.75" style="24" customWidth="1"/>
    <col min="4867" max="4867" width="10.75" style="24" customWidth="1"/>
    <col min="4868" max="4868" width="8.75" style="24" customWidth="1"/>
    <col min="4869" max="4869" width="8.9140625" style="24"/>
    <col min="4870" max="4870" width="12.4140625" style="24" customWidth="1"/>
    <col min="4871" max="4871" width="12.33203125" style="24" customWidth="1"/>
    <col min="4872" max="4872" width="8.9140625" style="24"/>
    <col min="4873" max="4873" width="12.08203125" style="24" customWidth="1"/>
    <col min="4874" max="5116" width="8.9140625" style="24"/>
    <col min="5117" max="5117" width="15.75" style="24" customWidth="1"/>
    <col min="5118" max="5118" width="12.75" style="24" customWidth="1"/>
    <col min="5119" max="5119" width="8.75" style="24" customWidth="1"/>
    <col min="5120" max="5120" width="13.75" style="24" customWidth="1"/>
    <col min="5121" max="5121" width="8.75" style="24" customWidth="1"/>
    <col min="5122" max="5122" width="12.75" style="24" customWidth="1"/>
    <col min="5123" max="5123" width="10.75" style="24" customWidth="1"/>
    <col min="5124" max="5124" width="8.75" style="24" customWidth="1"/>
    <col min="5125" max="5125" width="8.9140625" style="24"/>
    <col min="5126" max="5126" width="12.4140625" style="24" customWidth="1"/>
    <col min="5127" max="5127" width="12.33203125" style="24" customWidth="1"/>
    <col min="5128" max="5128" width="8.9140625" style="24"/>
    <col min="5129" max="5129" width="12.08203125" style="24" customWidth="1"/>
    <col min="5130" max="5372" width="8.9140625" style="24"/>
    <col min="5373" max="5373" width="15.75" style="24" customWidth="1"/>
    <col min="5374" max="5374" width="12.75" style="24" customWidth="1"/>
    <col min="5375" max="5375" width="8.75" style="24" customWidth="1"/>
    <col min="5376" max="5376" width="13.75" style="24" customWidth="1"/>
    <col min="5377" max="5377" width="8.75" style="24" customWidth="1"/>
    <col min="5378" max="5378" width="12.75" style="24" customWidth="1"/>
    <col min="5379" max="5379" width="10.75" style="24" customWidth="1"/>
    <col min="5380" max="5380" width="8.75" style="24" customWidth="1"/>
    <col min="5381" max="5381" width="8.9140625" style="24"/>
    <col min="5382" max="5382" width="12.4140625" style="24" customWidth="1"/>
    <col min="5383" max="5383" width="12.33203125" style="24" customWidth="1"/>
    <col min="5384" max="5384" width="8.9140625" style="24"/>
    <col min="5385" max="5385" width="12.08203125" style="24" customWidth="1"/>
    <col min="5386" max="5628" width="8.9140625" style="24"/>
    <col min="5629" max="5629" width="15.75" style="24" customWidth="1"/>
    <col min="5630" max="5630" width="12.75" style="24" customWidth="1"/>
    <col min="5631" max="5631" width="8.75" style="24" customWidth="1"/>
    <col min="5632" max="5632" width="13.75" style="24" customWidth="1"/>
    <col min="5633" max="5633" width="8.75" style="24" customWidth="1"/>
    <col min="5634" max="5634" width="12.75" style="24" customWidth="1"/>
    <col min="5635" max="5635" width="10.75" style="24" customWidth="1"/>
    <col min="5636" max="5636" width="8.75" style="24" customWidth="1"/>
    <col min="5637" max="5637" width="8.9140625" style="24"/>
    <col min="5638" max="5638" width="12.4140625" style="24" customWidth="1"/>
    <col min="5639" max="5639" width="12.33203125" style="24" customWidth="1"/>
    <col min="5640" max="5640" width="8.9140625" style="24"/>
    <col min="5641" max="5641" width="12.08203125" style="24" customWidth="1"/>
    <col min="5642" max="5884" width="8.9140625" style="24"/>
    <col min="5885" max="5885" width="15.75" style="24" customWidth="1"/>
    <col min="5886" max="5886" width="12.75" style="24" customWidth="1"/>
    <col min="5887" max="5887" width="8.75" style="24" customWidth="1"/>
    <col min="5888" max="5888" width="13.75" style="24" customWidth="1"/>
    <col min="5889" max="5889" width="8.75" style="24" customWidth="1"/>
    <col min="5890" max="5890" width="12.75" style="24" customWidth="1"/>
    <col min="5891" max="5891" width="10.75" style="24" customWidth="1"/>
    <col min="5892" max="5892" width="8.75" style="24" customWidth="1"/>
    <col min="5893" max="5893" width="8.9140625" style="24"/>
    <col min="5894" max="5894" width="12.4140625" style="24" customWidth="1"/>
    <col min="5895" max="5895" width="12.33203125" style="24" customWidth="1"/>
    <col min="5896" max="5896" width="8.9140625" style="24"/>
    <col min="5897" max="5897" width="12.08203125" style="24" customWidth="1"/>
    <col min="5898" max="6140" width="8.9140625" style="24"/>
    <col min="6141" max="6141" width="15.75" style="24" customWidth="1"/>
    <col min="6142" max="6142" width="12.75" style="24" customWidth="1"/>
    <col min="6143" max="6143" width="8.75" style="24" customWidth="1"/>
    <col min="6144" max="6144" width="13.75" style="24" customWidth="1"/>
    <col min="6145" max="6145" width="8.75" style="24" customWidth="1"/>
    <col min="6146" max="6146" width="12.75" style="24" customWidth="1"/>
    <col min="6147" max="6147" width="10.75" style="24" customWidth="1"/>
    <col min="6148" max="6148" width="8.75" style="24" customWidth="1"/>
    <col min="6149" max="6149" width="8.9140625" style="24"/>
    <col min="6150" max="6150" width="12.4140625" style="24" customWidth="1"/>
    <col min="6151" max="6151" width="12.33203125" style="24" customWidth="1"/>
    <col min="6152" max="6152" width="8.9140625" style="24"/>
    <col min="6153" max="6153" width="12.08203125" style="24" customWidth="1"/>
    <col min="6154" max="6396" width="8.9140625" style="24"/>
    <col min="6397" max="6397" width="15.75" style="24" customWidth="1"/>
    <col min="6398" max="6398" width="12.75" style="24" customWidth="1"/>
    <col min="6399" max="6399" width="8.75" style="24" customWidth="1"/>
    <col min="6400" max="6400" width="13.75" style="24" customWidth="1"/>
    <col min="6401" max="6401" width="8.75" style="24" customWidth="1"/>
    <col min="6402" max="6402" width="12.75" style="24" customWidth="1"/>
    <col min="6403" max="6403" width="10.75" style="24" customWidth="1"/>
    <col min="6404" max="6404" width="8.75" style="24" customWidth="1"/>
    <col min="6405" max="6405" width="8.9140625" style="24"/>
    <col min="6406" max="6406" width="12.4140625" style="24" customWidth="1"/>
    <col min="6407" max="6407" width="12.33203125" style="24" customWidth="1"/>
    <col min="6408" max="6408" width="8.9140625" style="24"/>
    <col min="6409" max="6409" width="12.08203125" style="24" customWidth="1"/>
    <col min="6410" max="6652" width="8.9140625" style="24"/>
    <col min="6653" max="6653" width="15.75" style="24" customWidth="1"/>
    <col min="6654" max="6654" width="12.75" style="24" customWidth="1"/>
    <col min="6655" max="6655" width="8.75" style="24" customWidth="1"/>
    <col min="6656" max="6656" width="13.75" style="24" customWidth="1"/>
    <col min="6657" max="6657" width="8.75" style="24" customWidth="1"/>
    <col min="6658" max="6658" width="12.75" style="24" customWidth="1"/>
    <col min="6659" max="6659" width="10.75" style="24" customWidth="1"/>
    <col min="6660" max="6660" width="8.75" style="24" customWidth="1"/>
    <col min="6661" max="6661" width="8.9140625" style="24"/>
    <col min="6662" max="6662" width="12.4140625" style="24" customWidth="1"/>
    <col min="6663" max="6663" width="12.33203125" style="24" customWidth="1"/>
    <col min="6664" max="6664" width="8.9140625" style="24"/>
    <col min="6665" max="6665" width="12.08203125" style="24" customWidth="1"/>
    <col min="6666" max="6908" width="8.9140625" style="24"/>
    <col min="6909" max="6909" width="15.75" style="24" customWidth="1"/>
    <col min="6910" max="6910" width="12.75" style="24" customWidth="1"/>
    <col min="6911" max="6911" width="8.75" style="24" customWidth="1"/>
    <col min="6912" max="6912" width="13.75" style="24" customWidth="1"/>
    <col min="6913" max="6913" width="8.75" style="24" customWidth="1"/>
    <col min="6914" max="6914" width="12.75" style="24" customWidth="1"/>
    <col min="6915" max="6915" width="10.75" style="24" customWidth="1"/>
    <col min="6916" max="6916" width="8.75" style="24" customWidth="1"/>
    <col min="6917" max="6917" width="8.9140625" style="24"/>
    <col min="6918" max="6918" width="12.4140625" style="24" customWidth="1"/>
    <col min="6919" max="6919" width="12.33203125" style="24" customWidth="1"/>
    <col min="6920" max="6920" width="8.9140625" style="24"/>
    <col min="6921" max="6921" width="12.08203125" style="24" customWidth="1"/>
    <col min="6922" max="7164" width="8.9140625" style="24"/>
    <col min="7165" max="7165" width="15.75" style="24" customWidth="1"/>
    <col min="7166" max="7166" width="12.75" style="24" customWidth="1"/>
    <col min="7167" max="7167" width="8.75" style="24" customWidth="1"/>
    <col min="7168" max="7168" width="13.75" style="24" customWidth="1"/>
    <col min="7169" max="7169" width="8.75" style="24" customWidth="1"/>
    <col min="7170" max="7170" width="12.75" style="24" customWidth="1"/>
    <col min="7171" max="7171" width="10.75" style="24" customWidth="1"/>
    <col min="7172" max="7172" width="8.75" style="24" customWidth="1"/>
    <col min="7173" max="7173" width="8.9140625" style="24"/>
    <col min="7174" max="7174" width="12.4140625" style="24" customWidth="1"/>
    <col min="7175" max="7175" width="12.33203125" style="24" customWidth="1"/>
    <col min="7176" max="7176" width="8.9140625" style="24"/>
    <col min="7177" max="7177" width="12.08203125" style="24" customWidth="1"/>
    <col min="7178" max="7420" width="8.9140625" style="24"/>
    <col min="7421" max="7421" width="15.75" style="24" customWidth="1"/>
    <col min="7422" max="7422" width="12.75" style="24" customWidth="1"/>
    <col min="7423" max="7423" width="8.75" style="24" customWidth="1"/>
    <col min="7424" max="7424" width="13.75" style="24" customWidth="1"/>
    <col min="7425" max="7425" width="8.75" style="24" customWidth="1"/>
    <col min="7426" max="7426" width="12.75" style="24" customWidth="1"/>
    <col min="7427" max="7427" width="10.75" style="24" customWidth="1"/>
    <col min="7428" max="7428" width="8.75" style="24" customWidth="1"/>
    <col min="7429" max="7429" width="8.9140625" style="24"/>
    <col min="7430" max="7430" width="12.4140625" style="24" customWidth="1"/>
    <col min="7431" max="7431" width="12.33203125" style="24" customWidth="1"/>
    <col min="7432" max="7432" width="8.9140625" style="24"/>
    <col min="7433" max="7433" width="12.08203125" style="24" customWidth="1"/>
    <col min="7434" max="7676" width="8.9140625" style="24"/>
    <col min="7677" max="7677" width="15.75" style="24" customWidth="1"/>
    <col min="7678" max="7678" width="12.75" style="24" customWidth="1"/>
    <col min="7679" max="7679" width="8.75" style="24" customWidth="1"/>
    <col min="7680" max="7680" width="13.75" style="24" customWidth="1"/>
    <col min="7681" max="7681" width="8.75" style="24" customWidth="1"/>
    <col min="7682" max="7682" width="12.75" style="24" customWidth="1"/>
    <col min="7683" max="7683" width="10.75" style="24" customWidth="1"/>
    <col min="7684" max="7684" width="8.75" style="24" customWidth="1"/>
    <col min="7685" max="7685" width="8.9140625" style="24"/>
    <col min="7686" max="7686" width="12.4140625" style="24" customWidth="1"/>
    <col min="7687" max="7687" width="12.33203125" style="24" customWidth="1"/>
    <col min="7688" max="7688" width="8.9140625" style="24"/>
    <col min="7689" max="7689" width="12.08203125" style="24" customWidth="1"/>
    <col min="7690" max="7932" width="8.9140625" style="24"/>
    <col min="7933" max="7933" width="15.75" style="24" customWidth="1"/>
    <col min="7934" max="7934" width="12.75" style="24" customWidth="1"/>
    <col min="7935" max="7935" width="8.75" style="24" customWidth="1"/>
    <col min="7936" max="7936" width="13.75" style="24" customWidth="1"/>
    <col min="7937" max="7937" width="8.75" style="24" customWidth="1"/>
    <col min="7938" max="7938" width="12.75" style="24" customWidth="1"/>
    <col min="7939" max="7939" width="10.75" style="24" customWidth="1"/>
    <col min="7940" max="7940" width="8.75" style="24" customWidth="1"/>
    <col min="7941" max="7941" width="8.9140625" style="24"/>
    <col min="7942" max="7942" width="12.4140625" style="24" customWidth="1"/>
    <col min="7943" max="7943" width="12.33203125" style="24" customWidth="1"/>
    <col min="7944" max="7944" width="8.9140625" style="24"/>
    <col min="7945" max="7945" width="12.08203125" style="24" customWidth="1"/>
    <col min="7946" max="8188" width="8.9140625" style="24"/>
    <col min="8189" max="8189" width="15.75" style="24" customWidth="1"/>
    <col min="8190" max="8190" width="12.75" style="24" customWidth="1"/>
    <col min="8191" max="8191" width="8.75" style="24" customWidth="1"/>
    <col min="8192" max="8192" width="13.75" style="24" customWidth="1"/>
    <col min="8193" max="8193" width="8.75" style="24" customWidth="1"/>
    <col min="8194" max="8194" width="12.75" style="24" customWidth="1"/>
    <col min="8195" max="8195" width="10.75" style="24" customWidth="1"/>
    <col min="8196" max="8196" width="8.75" style="24" customWidth="1"/>
    <col min="8197" max="8197" width="8.9140625" style="24"/>
    <col min="8198" max="8198" width="12.4140625" style="24" customWidth="1"/>
    <col min="8199" max="8199" width="12.33203125" style="24" customWidth="1"/>
    <col min="8200" max="8200" width="8.9140625" style="24"/>
    <col min="8201" max="8201" width="12.08203125" style="24" customWidth="1"/>
    <col min="8202" max="8444" width="8.9140625" style="24"/>
    <col min="8445" max="8445" width="15.75" style="24" customWidth="1"/>
    <col min="8446" max="8446" width="12.75" style="24" customWidth="1"/>
    <col min="8447" max="8447" width="8.75" style="24" customWidth="1"/>
    <col min="8448" max="8448" width="13.75" style="24" customWidth="1"/>
    <col min="8449" max="8449" width="8.75" style="24" customWidth="1"/>
    <col min="8450" max="8450" width="12.75" style="24" customWidth="1"/>
    <col min="8451" max="8451" width="10.75" style="24" customWidth="1"/>
    <col min="8452" max="8452" width="8.75" style="24" customWidth="1"/>
    <col min="8453" max="8453" width="8.9140625" style="24"/>
    <col min="8454" max="8454" width="12.4140625" style="24" customWidth="1"/>
    <col min="8455" max="8455" width="12.33203125" style="24" customWidth="1"/>
    <col min="8456" max="8456" width="8.9140625" style="24"/>
    <col min="8457" max="8457" width="12.08203125" style="24" customWidth="1"/>
    <col min="8458" max="8700" width="8.9140625" style="24"/>
    <col min="8701" max="8701" width="15.75" style="24" customWidth="1"/>
    <col min="8702" max="8702" width="12.75" style="24" customWidth="1"/>
    <col min="8703" max="8703" width="8.75" style="24" customWidth="1"/>
    <col min="8704" max="8704" width="13.75" style="24" customWidth="1"/>
    <col min="8705" max="8705" width="8.75" style="24" customWidth="1"/>
    <col min="8706" max="8706" width="12.75" style="24" customWidth="1"/>
    <col min="8707" max="8707" width="10.75" style="24" customWidth="1"/>
    <col min="8708" max="8708" width="8.75" style="24" customWidth="1"/>
    <col min="8709" max="8709" width="8.9140625" style="24"/>
    <col min="8710" max="8710" width="12.4140625" style="24" customWidth="1"/>
    <col min="8711" max="8711" width="12.33203125" style="24" customWidth="1"/>
    <col min="8712" max="8712" width="8.9140625" style="24"/>
    <col min="8713" max="8713" width="12.08203125" style="24" customWidth="1"/>
    <col min="8714" max="8956" width="8.9140625" style="24"/>
    <col min="8957" max="8957" width="15.75" style="24" customWidth="1"/>
    <col min="8958" max="8958" width="12.75" style="24" customWidth="1"/>
    <col min="8959" max="8959" width="8.75" style="24" customWidth="1"/>
    <col min="8960" max="8960" width="13.75" style="24" customWidth="1"/>
    <col min="8961" max="8961" width="8.75" style="24" customWidth="1"/>
    <col min="8962" max="8962" width="12.75" style="24" customWidth="1"/>
    <col min="8963" max="8963" width="10.75" style="24" customWidth="1"/>
    <col min="8964" max="8964" width="8.75" style="24" customWidth="1"/>
    <col min="8965" max="8965" width="8.9140625" style="24"/>
    <col min="8966" max="8966" width="12.4140625" style="24" customWidth="1"/>
    <col min="8967" max="8967" width="12.33203125" style="24" customWidth="1"/>
    <col min="8968" max="8968" width="8.9140625" style="24"/>
    <col min="8969" max="8969" width="12.08203125" style="24" customWidth="1"/>
    <col min="8970" max="9212" width="8.9140625" style="24"/>
    <col min="9213" max="9213" width="15.75" style="24" customWidth="1"/>
    <col min="9214" max="9214" width="12.75" style="24" customWidth="1"/>
    <col min="9215" max="9215" width="8.75" style="24" customWidth="1"/>
    <col min="9216" max="9216" width="13.75" style="24" customWidth="1"/>
    <col min="9217" max="9217" width="8.75" style="24" customWidth="1"/>
    <col min="9218" max="9218" width="12.75" style="24" customWidth="1"/>
    <col min="9219" max="9219" width="10.75" style="24" customWidth="1"/>
    <col min="9220" max="9220" width="8.75" style="24" customWidth="1"/>
    <col min="9221" max="9221" width="8.9140625" style="24"/>
    <col min="9222" max="9222" width="12.4140625" style="24" customWidth="1"/>
    <col min="9223" max="9223" width="12.33203125" style="24" customWidth="1"/>
    <col min="9224" max="9224" width="8.9140625" style="24"/>
    <col min="9225" max="9225" width="12.08203125" style="24" customWidth="1"/>
    <col min="9226" max="9468" width="8.9140625" style="24"/>
    <col min="9469" max="9469" width="15.75" style="24" customWidth="1"/>
    <col min="9470" max="9470" width="12.75" style="24" customWidth="1"/>
    <col min="9471" max="9471" width="8.75" style="24" customWidth="1"/>
    <col min="9472" max="9472" width="13.75" style="24" customWidth="1"/>
    <col min="9473" max="9473" width="8.75" style="24" customWidth="1"/>
    <col min="9474" max="9474" width="12.75" style="24" customWidth="1"/>
    <col min="9475" max="9475" width="10.75" style="24" customWidth="1"/>
    <col min="9476" max="9476" width="8.75" style="24" customWidth="1"/>
    <col min="9477" max="9477" width="8.9140625" style="24"/>
    <col min="9478" max="9478" width="12.4140625" style="24" customWidth="1"/>
    <col min="9479" max="9479" width="12.33203125" style="24" customWidth="1"/>
    <col min="9480" max="9480" width="8.9140625" style="24"/>
    <col min="9481" max="9481" width="12.08203125" style="24" customWidth="1"/>
    <col min="9482" max="9724" width="8.9140625" style="24"/>
    <col min="9725" max="9725" width="15.75" style="24" customWidth="1"/>
    <col min="9726" max="9726" width="12.75" style="24" customWidth="1"/>
    <col min="9727" max="9727" width="8.75" style="24" customWidth="1"/>
    <col min="9728" max="9728" width="13.75" style="24" customWidth="1"/>
    <col min="9729" max="9729" width="8.75" style="24" customWidth="1"/>
    <col min="9730" max="9730" width="12.75" style="24" customWidth="1"/>
    <col min="9731" max="9731" width="10.75" style="24" customWidth="1"/>
    <col min="9732" max="9732" width="8.75" style="24" customWidth="1"/>
    <col min="9733" max="9733" width="8.9140625" style="24"/>
    <col min="9734" max="9734" width="12.4140625" style="24" customWidth="1"/>
    <col min="9735" max="9735" width="12.33203125" style="24" customWidth="1"/>
    <col min="9736" max="9736" width="8.9140625" style="24"/>
    <col min="9737" max="9737" width="12.08203125" style="24" customWidth="1"/>
    <col min="9738" max="9980" width="8.9140625" style="24"/>
    <col min="9981" max="9981" width="15.75" style="24" customWidth="1"/>
    <col min="9982" max="9982" width="12.75" style="24" customWidth="1"/>
    <col min="9983" max="9983" width="8.75" style="24" customWidth="1"/>
    <col min="9984" max="9984" width="13.75" style="24" customWidth="1"/>
    <col min="9985" max="9985" width="8.75" style="24" customWidth="1"/>
    <col min="9986" max="9986" width="12.75" style="24" customWidth="1"/>
    <col min="9987" max="9987" width="10.75" style="24" customWidth="1"/>
    <col min="9988" max="9988" width="8.75" style="24" customWidth="1"/>
    <col min="9989" max="9989" width="8.9140625" style="24"/>
    <col min="9990" max="9990" width="12.4140625" style="24" customWidth="1"/>
    <col min="9991" max="9991" width="12.33203125" style="24" customWidth="1"/>
    <col min="9992" max="9992" width="8.9140625" style="24"/>
    <col min="9993" max="9993" width="12.08203125" style="24" customWidth="1"/>
    <col min="9994" max="10236" width="8.9140625" style="24"/>
    <col min="10237" max="10237" width="15.75" style="24" customWidth="1"/>
    <col min="10238" max="10238" width="12.75" style="24" customWidth="1"/>
    <col min="10239" max="10239" width="8.75" style="24" customWidth="1"/>
    <col min="10240" max="10240" width="13.75" style="24" customWidth="1"/>
    <col min="10241" max="10241" width="8.75" style="24" customWidth="1"/>
    <col min="10242" max="10242" width="12.75" style="24" customWidth="1"/>
    <col min="10243" max="10243" width="10.75" style="24" customWidth="1"/>
    <col min="10244" max="10244" width="8.75" style="24" customWidth="1"/>
    <col min="10245" max="10245" width="8.9140625" style="24"/>
    <col min="10246" max="10246" width="12.4140625" style="24" customWidth="1"/>
    <col min="10247" max="10247" width="12.33203125" style="24" customWidth="1"/>
    <col min="10248" max="10248" width="8.9140625" style="24"/>
    <col min="10249" max="10249" width="12.08203125" style="24" customWidth="1"/>
    <col min="10250" max="10492" width="8.9140625" style="24"/>
    <col min="10493" max="10493" width="15.75" style="24" customWidth="1"/>
    <col min="10494" max="10494" width="12.75" style="24" customWidth="1"/>
    <col min="10495" max="10495" width="8.75" style="24" customWidth="1"/>
    <col min="10496" max="10496" width="13.75" style="24" customWidth="1"/>
    <col min="10497" max="10497" width="8.75" style="24" customWidth="1"/>
    <col min="10498" max="10498" width="12.75" style="24" customWidth="1"/>
    <col min="10499" max="10499" width="10.75" style="24" customWidth="1"/>
    <col min="10500" max="10500" width="8.75" style="24" customWidth="1"/>
    <col min="10501" max="10501" width="8.9140625" style="24"/>
    <col min="10502" max="10502" width="12.4140625" style="24" customWidth="1"/>
    <col min="10503" max="10503" width="12.33203125" style="24" customWidth="1"/>
    <col min="10504" max="10504" width="8.9140625" style="24"/>
    <col min="10505" max="10505" width="12.08203125" style="24" customWidth="1"/>
    <col min="10506" max="10748" width="8.9140625" style="24"/>
    <col min="10749" max="10749" width="15.75" style="24" customWidth="1"/>
    <col min="10750" max="10750" width="12.75" style="24" customWidth="1"/>
    <col min="10751" max="10751" width="8.75" style="24" customWidth="1"/>
    <col min="10752" max="10752" width="13.75" style="24" customWidth="1"/>
    <col min="10753" max="10753" width="8.75" style="24" customWidth="1"/>
    <col min="10754" max="10754" width="12.75" style="24" customWidth="1"/>
    <col min="10755" max="10755" width="10.75" style="24" customWidth="1"/>
    <col min="10756" max="10756" width="8.75" style="24" customWidth="1"/>
    <col min="10757" max="10757" width="8.9140625" style="24"/>
    <col min="10758" max="10758" width="12.4140625" style="24" customWidth="1"/>
    <col min="10759" max="10759" width="12.33203125" style="24" customWidth="1"/>
    <col min="10760" max="10760" width="8.9140625" style="24"/>
    <col min="10761" max="10761" width="12.08203125" style="24" customWidth="1"/>
    <col min="10762" max="11004" width="8.9140625" style="24"/>
    <col min="11005" max="11005" width="15.75" style="24" customWidth="1"/>
    <col min="11006" max="11006" width="12.75" style="24" customWidth="1"/>
    <col min="11007" max="11007" width="8.75" style="24" customWidth="1"/>
    <col min="11008" max="11008" width="13.75" style="24" customWidth="1"/>
    <col min="11009" max="11009" width="8.75" style="24" customWidth="1"/>
    <col min="11010" max="11010" width="12.75" style="24" customWidth="1"/>
    <col min="11011" max="11011" width="10.75" style="24" customWidth="1"/>
    <col min="11012" max="11012" width="8.75" style="24" customWidth="1"/>
    <col min="11013" max="11013" width="8.9140625" style="24"/>
    <col min="11014" max="11014" width="12.4140625" style="24" customWidth="1"/>
    <col min="11015" max="11015" width="12.33203125" style="24" customWidth="1"/>
    <col min="11016" max="11016" width="8.9140625" style="24"/>
    <col min="11017" max="11017" width="12.08203125" style="24" customWidth="1"/>
    <col min="11018" max="11260" width="8.9140625" style="24"/>
    <col min="11261" max="11261" width="15.75" style="24" customWidth="1"/>
    <col min="11262" max="11262" width="12.75" style="24" customWidth="1"/>
    <col min="11263" max="11263" width="8.75" style="24" customWidth="1"/>
    <col min="11264" max="11264" width="13.75" style="24" customWidth="1"/>
    <col min="11265" max="11265" width="8.75" style="24" customWidth="1"/>
    <col min="11266" max="11266" width="12.75" style="24" customWidth="1"/>
    <col min="11267" max="11267" width="10.75" style="24" customWidth="1"/>
    <col min="11268" max="11268" width="8.75" style="24" customWidth="1"/>
    <col min="11269" max="11269" width="8.9140625" style="24"/>
    <col min="11270" max="11270" width="12.4140625" style="24" customWidth="1"/>
    <col min="11271" max="11271" width="12.33203125" style="24" customWidth="1"/>
    <col min="11272" max="11272" width="8.9140625" style="24"/>
    <col min="11273" max="11273" width="12.08203125" style="24" customWidth="1"/>
    <col min="11274" max="11516" width="8.9140625" style="24"/>
    <col min="11517" max="11517" width="15.75" style="24" customWidth="1"/>
    <col min="11518" max="11518" width="12.75" style="24" customWidth="1"/>
    <col min="11519" max="11519" width="8.75" style="24" customWidth="1"/>
    <col min="11520" max="11520" width="13.75" style="24" customWidth="1"/>
    <col min="11521" max="11521" width="8.75" style="24" customWidth="1"/>
    <col min="11522" max="11522" width="12.75" style="24" customWidth="1"/>
    <col min="11523" max="11523" width="10.75" style="24" customWidth="1"/>
    <col min="11524" max="11524" width="8.75" style="24" customWidth="1"/>
    <col min="11525" max="11525" width="8.9140625" style="24"/>
    <col min="11526" max="11526" width="12.4140625" style="24" customWidth="1"/>
    <col min="11527" max="11527" width="12.33203125" style="24" customWidth="1"/>
    <col min="11528" max="11528" width="8.9140625" style="24"/>
    <col min="11529" max="11529" width="12.08203125" style="24" customWidth="1"/>
    <col min="11530" max="11772" width="8.9140625" style="24"/>
    <col min="11773" max="11773" width="15.75" style="24" customWidth="1"/>
    <col min="11774" max="11774" width="12.75" style="24" customWidth="1"/>
    <col min="11775" max="11775" width="8.75" style="24" customWidth="1"/>
    <col min="11776" max="11776" width="13.75" style="24" customWidth="1"/>
    <col min="11777" max="11777" width="8.75" style="24" customWidth="1"/>
    <col min="11778" max="11778" width="12.75" style="24" customWidth="1"/>
    <col min="11779" max="11779" width="10.75" style="24" customWidth="1"/>
    <col min="11780" max="11780" width="8.75" style="24" customWidth="1"/>
    <col min="11781" max="11781" width="8.9140625" style="24"/>
    <col min="11782" max="11782" width="12.4140625" style="24" customWidth="1"/>
    <col min="11783" max="11783" width="12.33203125" style="24" customWidth="1"/>
    <col min="11784" max="11784" width="8.9140625" style="24"/>
    <col min="11785" max="11785" width="12.08203125" style="24" customWidth="1"/>
    <col min="11786" max="12028" width="8.9140625" style="24"/>
    <col min="12029" max="12029" width="15.75" style="24" customWidth="1"/>
    <col min="12030" max="12030" width="12.75" style="24" customWidth="1"/>
    <col min="12031" max="12031" width="8.75" style="24" customWidth="1"/>
    <col min="12032" max="12032" width="13.75" style="24" customWidth="1"/>
    <col min="12033" max="12033" width="8.75" style="24" customWidth="1"/>
    <col min="12034" max="12034" width="12.75" style="24" customWidth="1"/>
    <col min="12035" max="12035" width="10.75" style="24" customWidth="1"/>
    <col min="12036" max="12036" width="8.75" style="24" customWidth="1"/>
    <col min="12037" max="12037" width="8.9140625" style="24"/>
    <col min="12038" max="12038" width="12.4140625" style="24" customWidth="1"/>
    <col min="12039" max="12039" width="12.33203125" style="24" customWidth="1"/>
    <col min="12040" max="12040" width="8.9140625" style="24"/>
    <col min="12041" max="12041" width="12.08203125" style="24" customWidth="1"/>
    <col min="12042" max="12284" width="8.9140625" style="24"/>
    <col min="12285" max="12285" width="15.75" style="24" customWidth="1"/>
    <col min="12286" max="12286" width="12.75" style="24" customWidth="1"/>
    <col min="12287" max="12287" width="8.75" style="24" customWidth="1"/>
    <col min="12288" max="12288" width="13.75" style="24" customWidth="1"/>
    <col min="12289" max="12289" width="8.75" style="24" customWidth="1"/>
    <col min="12290" max="12290" width="12.75" style="24" customWidth="1"/>
    <col min="12291" max="12291" width="10.75" style="24" customWidth="1"/>
    <col min="12292" max="12292" width="8.75" style="24" customWidth="1"/>
    <col min="12293" max="12293" width="8.9140625" style="24"/>
    <col min="12294" max="12294" width="12.4140625" style="24" customWidth="1"/>
    <col min="12295" max="12295" width="12.33203125" style="24" customWidth="1"/>
    <col min="12296" max="12296" width="8.9140625" style="24"/>
    <col min="12297" max="12297" width="12.08203125" style="24" customWidth="1"/>
    <col min="12298" max="12540" width="8.9140625" style="24"/>
    <col min="12541" max="12541" width="15.75" style="24" customWidth="1"/>
    <col min="12542" max="12542" width="12.75" style="24" customWidth="1"/>
    <col min="12543" max="12543" width="8.75" style="24" customWidth="1"/>
    <col min="12544" max="12544" width="13.75" style="24" customWidth="1"/>
    <col min="12545" max="12545" width="8.75" style="24" customWidth="1"/>
    <col min="12546" max="12546" width="12.75" style="24" customWidth="1"/>
    <col min="12547" max="12547" width="10.75" style="24" customWidth="1"/>
    <col min="12548" max="12548" width="8.75" style="24" customWidth="1"/>
    <col min="12549" max="12549" width="8.9140625" style="24"/>
    <col min="12550" max="12550" width="12.4140625" style="24" customWidth="1"/>
    <col min="12551" max="12551" width="12.33203125" style="24" customWidth="1"/>
    <col min="12552" max="12552" width="8.9140625" style="24"/>
    <col min="12553" max="12553" width="12.08203125" style="24" customWidth="1"/>
    <col min="12554" max="12796" width="8.9140625" style="24"/>
    <col min="12797" max="12797" width="15.75" style="24" customWidth="1"/>
    <col min="12798" max="12798" width="12.75" style="24" customWidth="1"/>
    <col min="12799" max="12799" width="8.75" style="24" customWidth="1"/>
    <col min="12800" max="12800" width="13.75" style="24" customWidth="1"/>
    <col min="12801" max="12801" width="8.75" style="24" customWidth="1"/>
    <col min="12802" max="12802" width="12.75" style="24" customWidth="1"/>
    <col min="12803" max="12803" width="10.75" style="24" customWidth="1"/>
    <col min="12804" max="12804" width="8.75" style="24" customWidth="1"/>
    <col min="12805" max="12805" width="8.9140625" style="24"/>
    <col min="12806" max="12806" width="12.4140625" style="24" customWidth="1"/>
    <col min="12807" max="12807" width="12.33203125" style="24" customWidth="1"/>
    <col min="12808" max="12808" width="8.9140625" style="24"/>
    <col min="12809" max="12809" width="12.08203125" style="24" customWidth="1"/>
    <col min="12810" max="13052" width="8.9140625" style="24"/>
    <col min="13053" max="13053" width="15.75" style="24" customWidth="1"/>
    <col min="13054" max="13054" width="12.75" style="24" customWidth="1"/>
    <col min="13055" max="13055" width="8.75" style="24" customWidth="1"/>
    <col min="13056" max="13056" width="13.75" style="24" customWidth="1"/>
    <col min="13057" max="13057" width="8.75" style="24" customWidth="1"/>
    <col min="13058" max="13058" width="12.75" style="24" customWidth="1"/>
    <col min="13059" max="13059" width="10.75" style="24" customWidth="1"/>
    <col min="13060" max="13060" width="8.75" style="24" customWidth="1"/>
    <col min="13061" max="13061" width="8.9140625" style="24"/>
    <col min="13062" max="13062" width="12.4140625" style="24" customWidth="1"/>
    <col min="13063" max="13063" width="12.33203125" style="24" customWidth="1"/>
    <col min="13064" max="13064" width="8.9140625" style="24"/>
    <col min="13065" max="13065" width="12.08203125" style="24" customWidth="1"/>
    <col min="13066" max="13308" width="8.9140625" style="24"/>
    <col min="13309" max="13309" width="15.75" style="24" customWidth="1"/>
    <col min="13310" max="13310" width="12.75" style="24" customWidth="1"/>
    <col min="13311" max="13311" width="8.75" style="24" customWidth="1"/>
    <col min="13312" max="13312" width="13.75" style="24" customWidth="1"/>
    <col min="13313" max="13313" width="8.75" style="24" customWidth="1"/>
    <col min="13314" max="13314" width="12.75" style="24" customWidth="1"/>
    <col min="13315" max="13315" width="10.75" style="24" customWidth="1"/>
    <col min="13316" max="13316" width="8.75" style="24" customWidth="1"/>
    <col min="13317" max="13317" width="8.9140625" style="24"/>
    <col min="13318" max="13318" width="12.4140625" style="24" customWidth="1"/>
    <col min="13319" max="13319" width="12.33203125" style="24" customWidth="1"/>
    <col min="13320" max="13320" width="8.9140625" style="24"/>
    <col min="13321" max="13321" width="12.08203125" style="24" customWidth="1"/>
    <col min="13322" max="13564" width="8.9140625" style="24"/>
    <col min="13565" max="13565" width="15.75" style="24" customWidth="1"/>
    <col min="13566" max="13566" width="12.75" style="24" customWidth="1"/>
    <col min="13567" max="13567" width="8.75" style="24" customWidth="1"/>
    <col min="13568" max="13568" width="13.75" style="24" customWidth="1"/>
    <col min="13569" max="13569" width="8.75" style="24" customWidth="1"/>
    <col min="13570" max="13570" width="12.75" style="24" customWidth="1"/>
    <col min="13571" max="13571" width="10.75" style="24" customWidth="1"/>
    <col min="13572" max="13572" width="8.75" style="24" customWidth="1"/>
    <col min="13573" max="13573" width="8.9140625" style="24"/>
    <col min="13574" max="13574" width="12.4140625" style="24" customWidth="1"/>
    <col min="13575" max="13575" width="12.33203125" style="24" customWidth="1"/>
    <col min="13576" max="13576" width="8.9140625" style="24"/>
    <col min="13577" max="13577" width="12.08203125" style="24" customWidth="1"/>
    <col min="13578" max="13820" width="8.9140625" style="24"/>
    <col min="13821" max="13821" width="15.75" style="24" customWidth="1"/>
    <col min="13822" max="13822" width="12.75" style="24" customWidth="1"/>
    <col min="13823" max="13823" width="8.75" style="24" customWidth="1"/>
    <col min="13824" max="13824" width="13.75" style="24" customWidth="1"/>
    <col min="13825" max="13825" width="8.75" style="24" customWidth="1"/>
    <col min="13826" max="13826" width="12.75" style="24" customWidth="1"/>
    <col min="13827" max="13827" width="10.75" style="24" customWidth="1"/>
    <col min="13828" max="13828" width="8.75" style="24" customWidth="1"/>
    <col min="13829" max="13829" width="8.9140625" style="24"/>
    <col min="13830" max="13830" width="12.4140625" style="24" customWidth="1"/>
    <col min="13831" max="13831" width="12.33203125" style="24" customWidth="1"/>
    <col min="13832" max="13832" width="8.9140625" style="24"/>
    <col min="13833" max="13833" width="12.08203125" style="24" customWidth="1"/>
    <col min="13834" max="14076" width="8.9140625" style="24"/>
    <col min="14077" max="14077" width="15.75" style="24" customWidth="1"/>
    <col min="14078" max="14078" width="12.75" style="24" customWidth="1"/>
    <col min="14079" max="14079" width="8.75" style="24" customWidth="1"/>
    <col min="14080" max="14080" width="13.75" style="24" customWidth="1"/>
    <col min="14081" max="14081" width="8.75" style="24" customWidth="1"/>
    <col min="14082" max="14082" width="12.75" style="24" customWidth="1"/>
    <col min="14083" max="14083" width="10.75" style="24" customWidth="1"/>
    <col min="14084" max="14084" width="8.75" style="24" customWidth="1"/>
    <col min="14085" max="14085" width="8.9140625" style="24"/>
    <col min="14086" max="14086" width="12.4140625" style="24" customWidth="1"/>
    <col min="14087" max="14087" width="12.33203125" style="24" customWidth="1"/>
    <col min="14088" max="14088" width="8.9140625" style="24"/>
    <col min="14089" max="14089" width="12.08203125" style="24" customWidth="1"/>
    <col min="14090" max="14332" width="8.9140625" style="24"/>
    <col min="14333" max="14333" width="15.75" style="24" customWidth="1"/>
    <col min="14334" max="14334" width="12.75" style="24" customWidth="1"/>
    <col min="14335" max="14335" width="8.75" style="24" customWidth="1"/>
    <col min="14336" max="14336" width="13.75" style="24" customWidth="1"/>
    <col min="14337" max="14337" width="8.75" style="24" customWidth="1"/>
    <col min="14338" max="14338" width="12.75" style="24" customWidth="1"/>
    <col min="14339" max="14339" width="10.75" style="24" customWidth="1"/>
    <col min="14340" max="14340" width="8.75" style="24" customWidth="1"/>
    <col min="14341" max="14341" width="8.9140625" style="24"/>
    <col min="14342" max="14342" width="12.4140625" style="24" customWidth="1"/>
    <col min="14343" max="14343" width="12.33203125" style="24" customWidth="1"/>
    <col min="14344" max="14344" width="8.9140625" style="24"/>
    <col min="14345" max="14345" width="12.08203125" style="24" customWidth="1"/>
    <col min="14346" max="14588" width="8.9140625" style="24"/>
    <col min="14589" max="14589" width="15.75" style="24" customWidth="1"/>
    <col min="14590" max="14590" width="12.75" style="24" customWidth="1"/>
    <col min="14591" max="14591" width="8.75" style="24" customWidth="1"/>
    <col min="14592" max="14592" width="13.75" style="24" customWidth="1"/>
    <col min="14593" max="14593" width="8.75" style="24" customWidth="1"/>
    <col min="14594" max="14594" width="12.75" style="24" customWidth="1"/>
    <col min="14595" max="14595" width="10.75" style="24" customWidth="1"/>
    <col min="14596" max="14596" width="8.75" style="24" customWidth="1"/>
    <col min="14597" max="14597" width="8.9140625" style="24"/>
    <col min="14598" max="14598" width="12.4140625" style="24" customWidth="1"/>
    <col min="14599" max="14599" width="12.33203125" style="24" customWidth="1"/>
    <col min="14600" max="14600" width="8.9140625" style="24"/>
    <col min="14601" max="14601" width="12.08203125" style="24" customWidth="1"/>
    <col min="14602" max="14844" width="8.9140625" style="24"/>
    <col min="14845" max="14845" width="15.75" style="24" customWidth="1"/>
    <col min="14846" max="14846" width="12.75" style="24" customWidth="1"/>
    <col min="14847" max="14847" width="8.75" style="24" customWidth="1"/>
    <col min="14848" max="14848" width="13.75" style="24" customWidth="1"/>
    <col min="14849" max="14849" width="8.75" style="24" customWidth="1"/>
    <col min="14850" max="14850" width="12.75" style="24" customWidth="1"/>
    <col min="14851" max="14851" width="10.75" style="24" customWidth="1"/>
    <col min="14852" max="14852" width="8.75" style="24" customWidth="1"/>
    <col min="14853" max="14853" width="8.9140625" style="24"/>
    <col min="14854" max="14854" width="12.4140625" style="24" customWidth="1"/>
    <col min="14855" max="14855" width="12.33203125" style="24" customWidth="1"/>
    <col min="14856" max="14856" width="8.9140625" style="24"/>
    <col min="14857" max="14857" width="12.08203125" style="24" customWidth="1"/>
    <col min="14858" max="15100" width="8.9140625" style="24"/>
    <col min="15101" max="15101" width="15.75" style="24" customWidth="1"/>
    <col min="15102" max="15102" width="12.75" style="24" customWidth="1"/>
    <col min="15103" max="15103" width="8.75" style="24" customWidth="1"/>
    <col min="15104" max="15104" width="13.75" style="24" customWidth="1"/>
    <col min="15105" max="15105" width="8.75" style="24" customWidth="1"/>
    <col min="15106" max="15106" width="12.75" style="24" customWidth="1"/>
    <col min="15107" max="15107" width="10.75" style="24" customWidth="1"/>
    <col min="15108" max="15108" width="8.75" style="24" customWidth="1"/>
    <col min="15109" max="15109" width="8.9140625" style="24"/>
    <col min="15110" max="15110" width="12.4140625" style="24" customWidth="1"/>
    <col min="15111" max="15111" width="12.33203125" style="24" customWidth="1"/>
    <col min="15112" max="15112" width="8.9140625" style="24"/>
    <col min="15113" max="15113" width="12.08203125" style="24" customWidth="1"/>
    <col min="15114" max="15356" width="8.9140625" style="24"/>
    <col min="15357" max="15357" width="15.75" style="24" customWidth="1"/>
    <col min="15358" max="15358" width="12.75" style="24" customWidth="1"/>
    <col min="15359" max="15359" width="8.75" style="24" customWidth="1"/>
    <col min="15360" max="15360" width="13.75" style="24" customWidth="1"/>
    <col min="15361" max="15361" width="8.75" style="24" customWidth="1"/>
    <col min="15362" max="15362" width="12.75" style="24" customWidth="1"/>
    <col min="15363" max="15363" width="10.75" style="24" customWidth="1"/>
    <col min="15364" max="15364" width="8.75" style="24" customWidth="1"/>
    <col min="15365" max="15365" width="8.9140625" style="24"/>
    <col min="15366" max="15366" width="12.4140625" style="24" customWidth="1"/>
    <col min="15367" max="15367" width="12.33203125" style="24" customWidth="1"/>
    <col min="15368" max="15368" width="8.9140625" style="24"/>
    <col min="15369" max="15369" width="12.08203125" style="24" customWidth="1"/>
    <col min="15370" max="15612" width="8.9140625" style="24"/>
    <col min="15613" max="15613" width="15.75" style="24" customWidth="1"/>
    <col min="15614" max="15614" width="12.75" style="24" customWidth="1"/>
    <col min="15615" max="15615" width="8.75" style="24" customWidth="1"/>
    <col min="15616" max="15616" width="13.75" style="24" customWidth="1"/>
    <col min="15617" max="15617" width="8.75" style="24" customWidth="1"/>
    <col min="15618" max="15618" width="12.75" style="24" customWidth="1"/>
    <col min="15619" max="15619" width="10.75" style="24" customWidth="1"/>
    <col min="15620" max="15620" width="8.75" style="24" customWidth="1"/>
    <col min="15621" max="15621" width="8.9140625" style="24"/>
    <col min="15622" max="15622" width="12.4140625" style="24" customWidth="1"/>
    <col min="15623" max="15623" width="12.33203125" style="24" customWidth="1"/>
    <col min="15624" max="15624" width="8.9140625" style="24"/>
    <col min="15625" max="15625" width="12.08203125" style="24" customWidth="1"/>
    <col min="15626" max="15868" width="8.9140625" style="24"/>
    <col min="15869" max="15869" width="15.75" style="24" customWidth="1"/>
    <col min="15870" max="15870" width="12.75" style="24" customWidth="1"/>
    <col min="15871" max="15871" width="8.75" style="24" customWidth="1"/>
    <col min="15872" max="15872" width="13.75" style="24" customWidth="1"/>
    <col min="15873" max="15873" width="8.75" style="24" customWidth="1"/>
    <col min="15874" max="15874" width="12.75" style="24" customWidth="1"/>
    <col min="15875" max="15875" width="10.75" style="24" customWidth="1"/>
    <col min="15876" max="15876" width="8.75" style="24" customWidth="1"/>
    <col min="15877" max="15877" width="8.9140625" style="24"/>
    <col min="15878" max="15878" width="12.4140625" style="24" customWidth="1"/>
    <col min="15879" max="15879" width="12.33203125" style="24" customWidth="1"/>
    <col min="15880" max="15880" width="8.9140625" style="24"/>
    <col min="15881" max="15881" width="12.08203125" style="24" customWidth="1"/>
    <col min="15882" max="16124" width="8.9140625" style="24"/>
    <col min="16125" max="16125" width="15.75" style="24" customWidth="1"/>
    <col min="16126" max="16126" width="12.75" style="24" customWidth="1"/>
    <col min="16127" max="16127" width="8.75" style="24" customWidth="1"/>
    <col min="16128" max="16128" width="13.75" style="24" customWidth="1"/>
    <col min="16129" max="16129" width="8.75" style="24" customWidth="1"/>
    <col min="16130" max="16130" width="12.75" style="24" customWidth="1"/>
    <col min="16131" max="16131" width="10.75" style="24" customWidth="1"/>
    <col min="16132" max="16132" width="8.75" style="24" customWidth="1"/>
    <col min="16133" max="16133" width="8.9140625" style="24"/>
    <col min="16134" max="16134" width="12.4140625" style="24" customWidth="1"/>
    <col min="16135" max="16135" width="12.33203125" style="24" customWidth="1"/>
    <col min="16136" max="16136" width="8.9140625" style="24"/>
    <col min="16137" max="16137" width="12.08203125" style="24" customWidth="1"/>
    <col min="16138" max="16384" width="8.9140625" style="24"/>
  </cols>
  <sheetData>
    <row r="1" spans="1:8" x14ac:dyDescent="0.25">
      <c r="A1" s="28"/>
      <c r="B1" s="28"/>
      <c r="C1" s="28"/>
      <c r="D1" s="28"/>
      <c r="E1" s="28"/>
      <c r="F1" s="28"/>
      <c r="G1" s="28"/>
      <c r="H1" s="57">
        <f>'CombRate-Bud Hearing Notice19'!H2</f>
        <v>2026</v>
      </c>
    </row>
    <row r="2" spans="1:8" x14ac:dyDescent="0.25">
      <c r="A2" s="810" t="s">
        <v>711</v>
      </c>
      <c r="B2" s="716"/>
      <c r="C2" s="716"/>
      <c r="D2" s="716"/>
      <c r="E2" s="716"/>
      <c r="F2" s="716"/>
      <c r="G2" s="716"/>
      <c r="H2" s="716"/>
    </row>
    <row r="3" spans="1:8" x14ac:dyDescent="0.25">
      <c r="A3" s="28"/>
      <c r="B3" s="28"/>
      <c r="C3" s="28"/>
      <c r="D3" s="28"/>
      <c r="E3" s="28"/>
      <c r="F3" s="28"/>
      <c r="G3" s="28"/>
      <c r="H3" s="28"/>
    </row>
    <row r="4" spans="1:8" x14ac:dyDescent="0.25">
      <c r="A4" s="715" t="s">
        <v>76</v>
      </c>
      <c r="B4" s="715"/>
      <c r="C4" s="715"/>
      <c r="D4" s="715"/>
      <c r="E4" s="715"/>
      <c r="F4" s="715"/>
      <c r="G4" s="715"/>
      <c r="H4" s="715"/>
    </row>
    <row r="5" spans="1:8" x14ac:dyDescent="0.25">
      <c r="A5" s="685" t="str">
        <f>inputPrYr!D3</f>
        <v>The City of Colby</v>
      </c>
      <c r="B5" s="809"/>
      <c r="C5" s="809"/>
      <c r="D5" s="809"/>
      <c r="E5" s="809"/>
      <c r="F5" s="809"/>
      <c r="G5" s="809"/>
      <c r="H5" s="809"/>
    </row>
    <row r="6" spans="1:8" x14ac:dyDescent="0.25">
      <c r="A6" s="715" t="str">
        <f>CONCATENATE("will meet on ",inputHearing!B42," at ",inputHearing!B44," at ",inputHearing!B46," for the purpose of hearing and")</f>
        <v>will meet on  at  at  for the purpose of hearing and</v>
      </c>
      <c r="B6" s="715"/>
      <c r="C6" s="715"/>
      <c r="D6" s="715"/>
      <c r="E6" s="715"/>
      <c r="F6" s="715"/>
      <c r="G6" s="715"/>
      <c r="H6" s="715"/>
    </row>
    <row r="7" spans="1:8" ht="14.25" customHeight="1" x14ac:dyDescent="0.25">
      <c r="A7" s="715" t="s">
        <v>712</v>
      </c>
      <c r="B7" s="715"/>
      <c r="C7" s="715"/>
      <c r="D7" s="715"/>
      <c r="E7" s="715"/>
      <c r="F7" s="715"/>
      <c r="G7" s="715"/>
      <c r="H7" s="715"/>
    </row>
    <row r="8" spans="1:8" ht="11.25" customHeight="1" x14ac:dyDescent="0.25">
      <c r="A8" s="28"/>
      <c r="B8" s="28"/>
      <c r="C8" s="28"/>
      <c r="D8" s="28"/>
      <c r="E8" s="28"/>
      <c r="F8" s="28"/>
      <c r="G8" s="28"/>
      <c r="H8" s="28"/>
    </row>
    <row r="9" spans="1:8" ht="15" customHeight="1" x14ac:dyDescent="0.25">
      <c r="A9" s="809" t="s">
        <v>713</v>
      </c>
      <c r="B9" s="809"/>
      <c r="C9" s="809"/>
      <c r="D9" s="809"/>
      <c r="E9" s="809"/>
      <c r="F9" s="809"/>
      <c r="G9" s="809"/>
      <c r="H9" s="809"/>
    </row>
    <row r="10" spans="1:8" ht="12" customHeight="1" x14ac:dyDescent="0.25">
      <c r="A10" s="714" t="str">
        <f>inputPrYr!D4</f>
        <v>Thomas County</v>
      </c>
      <c r="B10" s="715"/>
      <c r="C10" s="715"/>
      <c r="D10" s="715"/>
      <c r="E10" s="715"/>
      <c r="F10" s="715"/>
      <c r="G10" s="715"/>
      <c r="H10" s="715"/>
    </row>
    <row r="11" spans="1:8" x14ac:dyDescent="0.25">
      <c r="A11" s="81"/>
      <c r="B11" s="33"/>
      <c r="C11" s="33"/>
      <c r="D11" s="33"/>
      <c r="E11" s="33"/>
      <c r="F11" s="33"/>
      <c r="G11" s="33"/>
      <c r="H11" s="33"/>
    </row>
    <row r="12" spans="1:8" x14ac:dyDescent="0.25">
      <c r="A12" s="81"/>
      <c r="B12" s="807" t="s">
        <v>714</v>
      </c>
      <c r="C12" s="807"/>
      <c r="D12" s="589">
        <f>'Budget Hearing Notice'!H53</f>
        <v>33.582999999999998</v>
      </c>
      <c r="E12" s="807" t="s">
        <v>715</v>
      </c>
      <c r="F12" s="807"/>
      <c r="G12" s="590">
        <f>'Budget Hearing Notice'!H52</f>
        <v>34.4</v>
      </c>
      <c r="H12" s="33"/>
    </row>
    <row r="13" spans="1:8" x14ac:dyDescent="0.25">
      <c r="A13" s="28"/>
      <c r="B13" s="161"/>
      <c r="C13" s="161"/>
      <c r="D13" s="161"/>
      <c r="E13" s="161"/>
      <c r="F13" s="161"/>
      <c r="G13" s="161"/>
      <c r="H13" s="161"/>
    </row>
    <row r="14" spans="1:8" x14ac:dyDescent="0.25">
      <c r="A14" s="28"/>
      <c r="B14" s="808" t="s">
        <v>716</v>
      </c>
      <c r="C14" s="808"/>
      <c r="D14" s="808"/>
      <c r="E14" s="808"/>
      <c r="F14" s="808"/>
      <c r="G14" s="28"/>
      <c r="H14" s="57"/>
    </row>
    <row r="15" spans="1:8" x14ac:dyDescent="0.25">
      <c r="A15" s="28"/>
      <c r="B15" s="808" t="s">
        <v>717</v>
      </c>
      <c r="C15" s="808"/>
      <c r="D15" s="808"/>
      <c r="E15" s="808"/>
      <c r="F15" s="808"/>
      <c r="G15" s="28"/>
      <c r="H15" s="57"/>
    </row>
    <row r="16" spans="1:8" x14ac:dyDescent="0.25">
      <c r="A16" s="28"/>
      <c r="B16" s="591"/>
      <c r="C16" s="591"/>
      <c r="D16" s="591"/>
      <c r="E16" s="591"/>
      <c r="F16" s="591"/>
      <c r="G16" s="28"/>
      <c r="H16" s="57"/>
    </row>
    <row r="17" spans="1:8" x14ac:dyDescent="0.25">
      <c r="A17" s="28"/>
      <c r="B17" s="591"/>
      <c r="C17" s="591"/>
      <c r="D17" s="80" t="s">
        <v>66</v>
      </c>
      <c r="E17" s="465"/>
      <c r="F17" s="591"/>
      <c r="G17" s="28"/>
      <c r="H17" s="57"/>
    </row>
    <row r="19" spans="1:8" x14ac:dyDescent="0.25">
      <c r="A19" s="26"/>
      <c r="B19" s="26"/>
      <c r="C19" s="26"/>
      <c r="D19" s="26"/>
      <c r="E19" s="26"/>
      <c r="F19" s="26"/>
      <c r="G19" s="26"/>
      <c r="H19" s="26"/>
    </row>
    <row r="21" spans="1:8" x14ac:dyDescent="0.25">
      <c r="A21" s="26"/>
      <c r="B21" s="26"/>
      <c r="C21" s="26"/>
      <c r="D21" s="26"/>
      <c r="E21" s="26"/>
      <c r="F21" s="26"/>
      <c r="G21" s="26"/>
      <c r="H21" s="26"/>
    </row>
    <row r="22" spans="1:8" x14ac:dyDescent="0.25">
      <c r="A22" s="26"/>
      <c r="B22" s="26"/>
      <c r="C22" s="26"/>
      <c r="D22" s="26"/>
      <c r="E22" s="26"/>
      <c r="F22" s="26"/>
      <c r="G22" s="26"/>
      <c r="H22" s="26"/>
    </row>
    <row r="23" spans="1:8" x14ac:dyDescent="0.25">
      <c r="A23" s="26"/>
      <c r="B23" s="26"/>
      <c r="C23" s="26"/>
      <c r="D23" s="26"/>
      <c r="E23" s="26"/>
      <c r="F23" s="26"/>
      <c r="G23" s="26"/>
      <c r="H23" s="26"/>
    </row>
    <row r="24" spans="1:8" x14ac:dyDescent="0.25">
      <c r="A24" s="26"/>
      <c r="B24" s="26"/>
      <c r="C24" s="26"/>
      <c r="D24" s="26"/>
      <c r="E24" s="26"/>
      <c r="F24" s="26"/>
      <c r="G24" s="26"/>
      <c r="H24" s="26"/>
    </row>
    <row r="25" spans="1:8" x14ac:dyDescent="0.25">
      <c r="A25" s="26"/>
      <c r="B25" s="26"/>
      <c r="C25" s="26"/>
      <c r="D25" s="26"/>
      <c r="E25" s="26"/>
      <c r="F25" s="26"/>
      <c r="G25" s="26"/>
      <c r="H25" s="26"/>
    </row>
    <row r="26" spans="1:8" x14ac:dyDescent="0.25">
      <c r="A26" s="26"/>
      <c r="B26" s="26"/>
      <c r="C26" s="26"/>
      <c r="D26" s="26"/>
      <c r="E26" s="26"/>
      <c r="F26" s="26"/>
      <c r="G26" s="26"/>
      <c r="H26" s="26"/>
    </row>
    <row r="27" spans="1:8" x14ac:dyDescent="0.25">
      <c r="A27" s="26"/>
      <c r="B27" s="26"/>
      <c r="C27" s="26"/>
      <c r="D27" s="26"/>
      <c r="E27" s="26"/>
      <c r="F27" s="26"/>
      <c r="G27" s="26"/>
      <c r="H27" s="26"/>
    </row>
    <row r="28" spans="1:8" x14ac:dyDescent="0.25">
      <c r="A28" s="26"/>
      <c r="B28" s="26"/>
      <c r="C28" s="26"/>
      <c r="D28" s="26"/>
      <c r="E28" s="26"/>
      <c r="F28" s="26"/>
      <c r="G28" s="26"/>
      <c r="H28" s="26"/>
    </row>
    <row r="29" spans="1:8" x14ac:dyDescent="0.25">
      <c r="A29" s="26"/>
      <c r="B29" s="26"/>
      <c r="C29" s="26"/>
      <c r="D29" s="26"/>
      <c r="E29" s="26"/>
      <c r="F29" s="26"/>
      <c r="G29" s="26"/>
      <c r="H29" s="26"/>
    </row>
    <row r="37" ht="15" customHeight="1" x14ac:dyDescent="0.25"/>
  </sheetData>
  <mergeCells count="11">
    <mergeCell ref="A9:H9"/>
    <mergeCell ref="A2:H2"/>
    <mergeCell ref="A4:H4"/>
    <mergeCell ref="A5:H5"/>
    <mergeCell ref="A6:H6"/>
    <mergeCell ref="A7:H7"/>
    <mergeCell ref="A10:H10"/>
    <mergeCell ref="B12:C12"/>
    <mergeCell ref="E12:F12"/>
    <mergeCell ref="B14:F14"/>
    <mergeCell ref="B15:F15"/>
  </mergeCells>
  <pageMargins left="1" right="1" top="0.5" bottom="0.5" header="0.5" footer="0.5"/>
  <pageSetup scale="76" orientation="portrait"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FDD571"/>
    <pageSetUpPr fitToPage="1"/>
  </sheetPr>
  <dimension ref="A1:F40"/>
  <sheetViews>
    <sheetView topLeftCell="A3" workbookViewId="0">
      <selection activeCell="L39" sqref="L39"/>
    </sheetView>
  </sheetViews>
  <sheetFormatPr defaultColWidth="8.9140625" defaultRowHeight="12.5" x14ac:dyDescent="0.25"/>
  <cols>
    <col min="1" max="1" width="10.08203125" style="64" customWidth="1"/>
    <col min="2" max="2" width="16.33203125" style="64" customWidth="1"/>
    <col min="3" max="3" width="11.75" style="64" customWidth="1"/>
    <col min="4" max="4" width="12.75" style="64" customWidth="1"/>
    <col min="5" max="5" width="11.75" style="64" customWidth="1"/>
    <col min="6" max="16384" width="8.9140625" style="64"/>
  </cols>
  <sheetData>
    <row r="1" spans="1:6" ht="15.5" x14ac:dyDescent="0.25">
      <c r="A1" s="47" t="str">
        <f>inputPrYr!D3</f>
        <v>The City of Colby</v>
      </c>
      <c r="B1" s="28"/>
      <c r="C1" s="28"/>
      <c r="D1" s="28"/>
      <c r="E1" s="28"/>
      <c r="F1" s="28">
        <f>inputPrYr!C6</f>
        <v>2026</v>
      </c>
    </row>
    <row r="2" spans="1:6" ht="15.5" x14ac:dyDescent="0.25">
      <c r="A2" s="28"/>
      <c r="B2" s="28"/>
      <c r="C2" s="28"/>
      <c r="D2" s="28"/>
      <c r="E2" s="28"/>
      <c r="F2" s="28"/>
    </row>
    <row r="3" spans="1:6" ht="15.5" x14ac:dyDescent="0.25">
      <c r="A3" s="28"/>
      <c r="B3" s="811" t="str">
        <f>CONCATENATE("",F1," Neighborhood Revitalization Rebate")</f>
        <v>2026 Neighborhood Revitalization Rebate</v>
      </c>
      <c r="C3" s="811"/>
      <c r="D3" s="811"/>
      <c r="E3" s="811"/>
      <c r="F3" s="28"/>
    </row>
    <row r="4" spans="1:6" ht="15.5" x14ac:dyDescent="0.25">
      <c r="A4" s="28"/>
      <c r="B4" s="28"/>
      <c r="C4" s="28"/>
      <c r="D4" s="28"/>
      <c r="E4" s="28"/>
      <c r="F4" s="28"/>
    </row>
    <row r="5" spans="1:6" ht="51.75" customHeight="1" x14ac:dyDescent="0.25">
      <c r="A5" s="28"/>
      <c r="B5" s="231" t="str">
        <f>CONCATENATE("Budgeted Funds         for ",F1,"")</f>
        <v>Budgeted Funds         for 2026</v>
      </c>
      <c r="C5" s="231" t="str">
        <f>CONCATENATE("",F1-1," Ad Valorem before Rebate**")</f>
        <v>2025 Ad Valorem before Rebate**</v>
      </c>
      <c r="D5" s="232" t="str">
        <f>CONCATENATE("",F1-1," Mil Rate before Rebate")</f>
        <v>2025 Mil Rate before Rebate</v>
      </c>
      <c r="E5" s="233" t="str">
        <f>CONCATENATE("Estimate ",F1," NR Rebate")</f>
        <v>Estimate 2026 NR Rebate</v>
      </c>
      <c r="F5" s="57"/>
    </row>
    <row r="6" spans="1:6" ht="15.5" x14ac:dyDescent="0.25">
      <c r="A6" s="28"/>
      <c r="B6" s="37" t="str">
        <f>inputPrYr!B18</f>
        <v>General</v>
      </c>
      <c r="C6" s="234">
        <v>836361</v>
      </c>
      <c r="D6" s="235">
        <f>IF(C6&gt;0,C6/$D$24,"")</f>
        <v>12.802082740669828</v>
      </c>
      <c r="E6" s="153">
        <f t="shared" ref="E6:E18" si="0">IF(C6&gt;0,ROUND(D6*$D$28,0),0)</f>
        <v>26377</v>
      </c>
      <c r="F6" s="57"/>
    </row>
    <row r="7" spans="1:6" ht="15.5" x14ac:dyDescent="0.25">
      <c r="A7" s="28"/>
      <c r="B7" s="37" t="str">
        <f>inputPrYr!B19</f>
        <v>Debt Service</v>
      </c>
      <c r="C7" s="234">
        <v>0</v>
      </c>
      <c r="D7" s="235" t="str">
        <f t="shared" ref="D7:D17" si="1">IF(C7&gt;0,C7/$D$24,"")</f>
        <v/>
      </c>
      <c r="E7" s="153">
        <f t="shared" si="0"/>
        <v>0</v>
      </c>
      <c r="F7" s="57"/>
    </row>
    <row r="8" spans="1:6" ht="15.5" x14ac:dyDescent="0.25">
      <c r="A8" s="28"/>
      <c r="B8" s="52" t="str">
        <f>inputPrYr!B20</f>
        <v>Library</v>
      </c>
      <c r="C8" s="234">
        <v>326650</v>
      </c>
      <c r="D8" s="235">
        <f t="shared" si="1"/>
        <v>4.9999944129864966</v>
      </c>
      <c r="E8" s="153">
        <f t="shared" si="0"/>
        <v>10302</v>
      </c>
      <c r="F8" s="57"/>
    </row>
    <row r="9" spans="1:6" ht="15.5" x14ac:dyDescent="0.25">
      <c r="A9" s="28"/>
      <c r="B9" s="52" t="str">
        <f>inputPrYr!B22</f>
        <v>Recreation</v>
      </c>
      <c r="C9" s="234">
        <v>186765</v>
      </c>
      <c r="D9" s="235">
        <f t="shared" si="1"/>
        <v>2.8587906215870902</v>
      </c>
      <c r="E9" s="153">
        <f t="shared" si="0"/>
        <v>5890</v>
      </c>
      <c r="F9" s="57"/>
    </row>
    <row r="10" spans="1:6" ht="15.5" x14ac:dyDescent="0.25">
      <c r="A10" s="28"/>
      <c r="B10" s="52" t="str">
        <f>inputPrYr!B23</f>
        <v>Noxious Weeds</v>
      </c>
      <c r="C10" s="234">
        <v>12011</v>
      </c>
      <c r="D10" s="235">
        <f t="shared" si="1"/>
        <v>0.18385101146297508</v>
      </c>
      <c r="E10" s="153">
        <f t="shared" si="0"/>
        <v>379</v>
      </c>
      <c r="F10" s="57"/>
    </row>
    <row r="11" spans="1:6" ht="15.5" x14ac:dyDescent="0.25">
      <c r="A11" s="28"/>
      <c r="B11" s="52" t="str">
        <f>inputPrYr!B24</f>
        <v>Special Fire/Police</v>
      </c>
      <c r="C11" s="234">
        <v>125766</v>
      </c>
      <c r="D11" s="235">
        <f t="shared" si="1"/>
        <v>1.9250858635960806</v>
      </c>
      <c r="E11" s="153">
        <f t="shared" si="0"/>
        <v>3966</v>
      </c>
      <c r="F11" s="57"/>
    </row>
    <row r="12" spans="1:6" ht="15.5" x14ac:dyDescent="0.25">
      <c r="A12" s="28"/>
      <c r="B12" s="52" t="str">
        <f>inputPrYr!B25</f>
        <v>Special Liability</v>
      </c>
      <c r="C12" s="236">
        <v>38053</v>
      </c>
      <c r="D12" s="235">
        <f t="shared" si="1"/>
        <v>0.5824729447340431</v>
      </c>
      <c r="E12" s="153">
        <f t="shared" si="0"/>
        <v>1200</v>
      </c>
      <c r="F12" s="57"/>
    </row>
    <row r="13" spans="1:6" ht="15.5" x14ac:dyDescent="0.25">
      <c r="A13" s="28"/>
      <c r="B13" s="52" t="str">
        <f>inputPrYr!B26</f>
        <v>Employee Benefits</v>
      </c>
      <c r="C13" s="236">
        <v>511207</v>
      </c>
      <c r="D13" s="235">
        <f t="shared" si="1"/>
        <v>7.8249874296022899</v>
      </c>
      <c r="E13" s="153">
        <f t="shared" si="0"/>
        <v>16122</v>
      </c>
      <c r="F13" s="57"/>
    </row>
    <row r="14" spans="1:6" ht="15.5" x14ac:dyDescent="0.25">
      <c r="A14" s="28"/>
      <c r="B14" s="52" t="str">
        <f>inputPrYr!B27</f>
        <v>Economic Development</v>
      </c>
      <c r="C14" s="236">
        <v>77229</v>
      </c>
      <c r="D14" s="235">
        <f t="shared" si="1"/>
        <v>1.1821355227936143</v>
      </c>
      <c r="E14" s="153">
        <f t="shared" si="0"/>
        <v>2436</v>
      </c>
      <c r="F14" s="57"/>
    </row>
    <row r="15" spans="1:6" ht="15.5" x14ac:dyDescent="0.25">
      <c r="A15" s="28"/>
      <c r="B15" s="52">
        <f>inputPrYr!B28</f>
        <v>0</v>
      </c>
      <c r="C15" s="236"/>
      <c r="D15" s="235" t="str">
        <f t="shared" si="1"/>
        <v/>
      </c>
      <c r="E15" s="153">
        <f t="shared" si="0"/>
        <v>0</v>
      </c>
      <c r="F15" s="57"/>
    </row>
    <row r="16" spans="1:6" ht="15.5" x14ac:dyDescent="0.25">
      <c r="A16" s="28"/>
      <c r="B16" s="52">
        <f>inputPrYr!B29</f>
        <v>0</v>
      </c>
      <c r="C16" s="236"/>
      <c r="D16" s="235" t="str">
        <f t="shared" si="1"/>
        <v/>
      </c>
      <c r="E16" s="153">
        <f t="shared" si="0"/>
        <v>0</v>
      </c>
      <c r="F16" s="57"/>
    </row>
    <row r="17" spans="1:6" ht="15.5" x14ac:dyDescent="0.25">
      <c r="A17" s="28"/>
      <c r="B17" s="52">
        <f>inputPrYr!B30</f>
        <v>0</v>
      </c>
      <c r="C17" s="236"/>
      <c r="D17" s="235" t="str">
        <f t="shared" si="1"/>
        <v/>
      </c>
      <c r="E17" s="153">
        <f t="shared" si="0"/>
        <v>0</v>
      </c>
      <c r="F17" s="57"/>
    </row>
    <row r="18" spans="1:6" ht="15.5" x14ac:dyDescent="0.25">
      <c r="A18" s="28"/>
      <c r="B18" s="52">
        <f>inputPrYr!B31</f>
        <v>0</v>
      </c>
      <c r="C18" s="236"/>
      <c r="D18" s="235" t="str">
        <f>IF(C18&gt;0,C18/$D$24,"")</f>
        <v/>
      </c>
      <c r="E18" s="153">
        <f t="shared" si="0"/>
        <v>0</v>
      </c>
      <c r="F18" s="57"/>
    </row>
    <row r="19" spans="1:6" ht="16" thickBot="1" x14ac:dyDescent="0.3">
      <c r="A19" s="28"/>
      <c r="B19" s="38" t="s">
        <v>53</v>
      </c>
      <c r="C19" s="237">
        <f>SUM(C6:C18)</f>
        <v>2114042</v>
      </c>
      <c r="D19" s="238">
        <f>SUM(D6:D17)</f>
        <v>32.359400547432415</v>
      </c>
      <c r="E19" s="237">
        <f>SUM(E6:E17)</f>
        <v>66672</v>
      </c>
      <c r="F19" s="57"/>
    </row>
    <row r="20" spans="1:6" ht="16" thickTop="1" x14ac:dyDescent="0.25">
      <c r="A20" s="28"/>
      <c r="B20" s="28"/>
      <c r="C20" s="28"/>
      <c r="D20" s="28"/>
      <c r="E20" s="28"/>
      <c r="F20" s="57"/>
    </row>
    <row r="21" spans="1:6" ht="15.5" x14ac:dyDescent="0.25">
      <c r="A21" s="28"/>
      <c r="B21" s="28"/>
      <c r="C21" s="28"/>
      <c r="D21" s="28"/>
      <c r="E21" s="28"/>
      <c r="F21" s="57"/>
    </row>
    <row r="22" spans="1:6" ht="15.5" x14ac:dyDescent="0.25">
      <c r="A22" s="812" t="str">
        <f>CONCATENATE("",F1-1," July 1 Valuation:")</f>
        <v>2025 July 1 Valuation:</v>
      </c>
      <c r="B22" s="753"/>
      <c r="C22" s="812"/>
      <c r="D22" s="230">
        <f>inputOth!E7</f>
        <v>65330073</v>
      </c>
      <c r="E22" s="28"/>
      <c r="F22" s="57"/>
    </row>
    <row r="23" spans="1:6" ht="15.5" x14ac:dyDescent="0.25">
      <c r="A23" s="28"/>
      <c r="B23" s="28"/>
      <c r="C23" s="28"/>
      <c r="D23" s="28"/>
      <c r="E23" s="28"/>
      <c r="F23" s="57"/>
    </row>
    <row r="24" spans="1:6" ht="15.5" x14ac:dyDescent="0.25">
      <c r="A24" s="28"/>
      <c r="B24" s="812" t="s">
        <v>219</v>
      </c>
      <c r="C24" s="812"/>
      <c r="D24" s="239">
        <f>IF(D22&gt;0,(D22*0.001),"")</f>
        <v>65330.073000000004</v>
      </c>
      <c r="E24" s="28"/>
      <c r="F24" s="57"/>
    </row>
    <row r="25" spans="1:6" ht="15.5" x14ac:dyDescent="0.25">
      <c r="A25" s="28"/>
      <c r="B25" s="80"/>
      <c r="C25" s="80"/>
      <c r="D25" s="240"/>
      <c r="E25" s="28"/>
      <c r="F25" s="57"/>
    </row>
    <row r="26" spans="1:6" ht="15.5" x14ac:dyDescent="0.25">
      <c r="A26" s="726" t="s">
        <v>220</v>
      </c>
      <c r="B26" s="716"/>
      <c r="C26" s="716"/>
      <c r="D26" s="230">
        <f>inputOth!E18</f>
        <v>2060354</v>
      </c>
      <c r="E26" s="40"/>
      <c r="F26" s="40"/>
    </row>
    <row r="27" spans="1:6" x14ac:dyDescent="0.25">
      <c r="A27" s="40"/>
      <c r="B27" s="40"/>
      <c r="C27" s="40"/>
      <c r="D27" s="241"/>
      <c r="E27" s="40"/>
      <c r="F27" s="40"/>
    </row>
    <row r="28" spans="1:6" ht="15.5" x14ac:dyDescent="0.25">
      <c r="A28" s="40"/>
      <c r="B28" s="726" t="s">
        <v>221</v>
      </c>
      <c r="C28" s="753"/>
      <c r="D28" s="239">
        <f>IF(D26&gt;0,(D26*0.001),"")</f>
        <v>2060.3540000000003</v>
      </c>
      <c r="E28" s="40"/>
      <c r="F28" s="40"/>
    </row>
    <row r="29" spans="1:6" x14ac:dyDescent="0.25">
      <c r="A29" s="40"/>
      <c r="B29" s="40"/>
      <c r="C29" s="40"/>
      <c r="D29" s="40"/>
      <c r="E29" s="40"/>
      <c r="F29" s="40"/>
    </row>
    <row r="30" spans="1:6" x14ac:dyDescent="0.25">
      <c r="A30" s="40"/>
      <c r="B30" s="40"/>
      <c r="C30" s="40"/>
      <c r="D30" s="40"/>
      <c r="E30" s="40"/>
      <c r="F30" s="40"/>
    </row>
    <row r="31" spans="1:6" x14ac:dyDescent="0.25">
      <c r="A31" s="40"/>
      <c r="B31" s="40"/>
      <c r="C31" s="40"/>
      <c r="D31" s="40"/>
      <c r="E31" s="40"/>
      <c r="F31" s="40"/>
    </row>
    <row r="32" spans="1:6" ht="15.5" x14ac:dyDescent="0.35">
      <c r="A32" s="5" t="str">
        <f>CONCATENATE("**This information comes from the ",F1," Budget Summary page.  See instructions tab step #12 for")</f>
        <v>**This information comes from the 2026 Budget Summary page.  See instructions tab step #12 for</v>
      </c>
      <c r="B32" s="40"/>
      <c r="C32" s="40"/>
      <c r="D32" s="40"/>
      <c r="E32" s="40"/>
      <c r="F32" s="40"/>
    </row>
    <row r="33" spans="1:6" ht="15.5" x14ac:dyDescent="0.35">
      <c r="A33" s="5" t="s">
        <v>690</v>
      </c>
      <c r="B33" s="40"/>
      <c r="C33" s="40"/>
      <c r="D33" s="40"/>
      <c r="E33" s="40"/>
      <c r="F33" s="40"/>
    </row>
    <row r="34" spans="1:6" ht="15.5" x14ac:dyDescent="0.35">
      <c r="A34" s="5"/>
      <c r="B34" s="40"/>
      <c r="C34" s="40"/>
      <c r="D34" s="40"/>
      <c r="E34" s="40"/>
      <c r="F34" s="40"/>
    </row>
    <row r="35" spans="1:6" ht="15.5" x14ac:dyDescent="0.35">
      <c r="A35" s="5"/>
      <c r="B35" s="40"/>
      <c r="C35" s="40"/>
      <c r="D35" s="40"/>
      <c r="E35" s="40"/>
      <c r="F35" s="40"/>
    </row>
    <row r="36" spans="1:6" ht="15.5" x14ac:dyDescent="0.35">
      <c r="A36" s="5"/>
      <c r="B36" s="40"/>
      <c r="C36" s="40"/>
      <c r="D36" s="40"/>
      <c r="E36" s="40"/>
      <c r="F36" s="40"/>
    </row>
    <row r="37" spans="1:6" ht="15.5" x14ac:dyDescent="0.35">
      <c r="A37" s="5"/>
      <c r="B37" s="40"/>
      <c r="C37" s="40"/>
      <c r="D37" s="40"/>
      <c r="E37" s="40"/>
      <c r="F37" s="40"/>
    </row>
    <row r="38" spans="1:6" x14ac:dyDescent="0.25">
      <c r="A38" s="40"/>
      <c r="B38" s="40"/>
      <c r="C38" s="40"/>
      <c r="D38" s="40"/>
      <c r="E38" s="40"/>
      <c r="F38" s="40"/>
    </row>
    <row r="39" spans="1:6" ht="15.5" x14ac:dyDescent="0.25">
      <c r="A39" s="40"/>
      <c r="B39" s="80" t="s">
        <v>74</v>
      </c>
      <c r="C39" s="465">
        <v>20</v>
      </c>
      <c r="D39" s="40"/>
      <c r="E39" s="40"/>
      <c r="F39" s="40"/>
    </row>
    <row r="40" spans="1:6" ht="15.5" x14ac:dyDescent="0.25">
      <c r="A40" s="57"/>
      <c r="B40" s="28"/>
      <c r="C40" s="28"/>
      <c r="D40" s="242"/>
      <c r="E40" s="57"/>
      <c r="F40" s="57"/>
    </row>
  </sheetData>
  <sheetProtection sheet="1" objects="1" scenarios="1"/>
  <mergeCells count="5">
    <mergeCell ref="B28:C28"/>
    <mergeCell ref="B3:E3"/>
    <mergeCell ref="A22:C22"/>
    <mergeCell ref="B24:C24"/>
    <mergeCell ref="A26:C26"/>
  </mergeCells>
  <phoneticPr fontId="8" type="noConversion"/>
  <pageMargins left="0.75" right="0.75" top="1" bottom="1" header="0.5" footer="0.5"/>
  <pageSetup scale="98" orientation="portrait" blackAndWhite="1" r:id="rId1"/>
  <headerFooter alignWithMargins="0">
    <oddHeader>&amp;RState of  Kansas
City</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72749-6D9A-471B-A06E-EA2573716F91}">
  <sheetPr codeName="Sheet42">
    <tabColor rgb="FFFDD571"/>
  </sheetPr>
  <dimension ref="A1:J15"/>
  <sheetViews>
    <sheetView workbookViewId="0">
      <selection activeCell="I1" sqref="I1:I1048576"/>
    </sheetView>
  </sheetViews>
  <sheetFormatPr defaultRowHeight="12.5" x14ac:dyDescent="0.25"/>
  <sheetData>
    <row r="1" spans="1:10" ht="15" x14ac:dyDescent="0.3">
      <c r="A1" s="813" t="s">
        <v>698</v>
      </c>
      <c r="B1" s="813"/>
      <c r="C1" s="813"/>
      <c r="D1" s="813"/>
      <c r="E1" s="813"/>
      <c r="F1" s="813"/>
      <c r="G1" s="813"/>
      <c r="H1" s="813"/>
    </row>
    <row r="2" spans="1:10" ht="15.5" x14ac:dyDescent="0.35">
      <c r="A2" s="1"/>
      <c r="B2" s="1"/>
      <c r="C2" s="1"/>
      <c r="D2" s="1"/>
      <c r="E2" s="1"/>
      <c r="F2" s="1"/>
      <c r="G2" s="1"/>
      <c r="H2" s="1"/>
    </row>
    <row r="3" spans="1:10" ht="52.5" customHeight="1" x14ac:dyDescent="0.3">
      <c r="A3" s="814" t="s">
        <v>1162</v>
      </c>
      <c r="B3" s="814"/>
      <c r="C3" s="814"/>
      <c r="D3" s="814"/>
      <c r="E3" s="814"/>
      <c r="F3" s="814"/>
      <c r="G3" s="814"/>
      <c r="H3" s="814"/>
    </row>
    <row r="4" spans="1:10" ht="15.5" x14ac:dyDescent="0.35">
      <c r="A4" s="1"/>
      <c r="B4" s="1"/>
      <c r="C4" s="1"/>
      <c r="D4" s="1"/>
      <c r="E4" s="1"/>
      <c r="F4" s="1"/>
      <c r="G4" s="1"/>
      <c r="H4" s="1"/>
    </row>
    <row r="5" spans="1:10" ht="52.5" customHeight="1" x14ac:dyDescent="0.35">
      <c r="A5" s="666" t="s">
        <v>1161</v>
      </c>
      <c r="B5" s="815" t="s">
        <v>1163</v>
      </c>
      <c r="C5" s="815"/>
      <c r="D5" s="815"/>
      <c r="E5" s="815"/>
      <c r="F5" s="815"/>
      <c r="G5" s="815"/>
      <c r="H5" s="815"/>
    </row>
    <row r="6" spans="1:10" ht="36" customHeight="1" x14ac:dyDescent="0.35">
      <c r="A6" s="1"/>
      <c r="B6" s="817" t="s">
        <v>964</v>
      </c>
      <c r="C6" s="817"/>
      <c r="D6" s="817"/>
      <c r="E6" s="817"/>
      <c r="F6" s="817"/>
      <c r="G6" s="817"/>
      <c r="H6" s="817"/>
      <c r="I6" s="634"/>
      <c r="J6" s="634"/>
    </row>
    <row r="7" spans="1:10" ht="15.5" x14ac:dyDescent="0.35">
      <c r="A7" s="1"/>
      <c r="B7" s="1"/>
      <c r="C7" s="1"/>
      <c r="D7" s="1"/>
      <c r="E7" s="1"/>
      <c r="F7" s="1"/>
      <c r="G7" s="1"/>
      <c r="H7" s="1"/>
    </row>
    <row r="8" spans="1:10" ht="32.25" customHeight="1" x14ac:dyDescent="0.35">
      <c r="A8" s="666"/>
      <c r="B8" s="815" t="s">
        <v>1101</v>
      </c>
      <c r="C8" s="815"/>
      <c r="D8" s="815"/>
      <c r="E8" s="815"/>
      <c r="F8" s="815"/>
      <c r="G8" s="815"/>
      <c r="H8" s="815"/>
    </row>
    <row r="9" spans="1:10" ht="15.5" x14ac:dyDescent="0.35">
      <c r="A9" s="1"/>
      <c r="B9" s="1"/>
      <c r="C9" s="1"/>
      <c r="D9" s="1"/>
      <c r="E9" s="1"/>
      <c r="F9" s="1"/>
      <c r="G9" s="1"/>
      <c r="H9" s="1"/>
    </row>
    <row r="10" spans="1:10" ht="15.5" x14ac:dyDescent="0.35">
      <c r="A10" s="816" t="s">
        <v>699</v>
      </c>
      <c r="B10" s="816"/>
      <c r="C10" s="816"/>
      <c r="D10" s="816"/>
      <c r="E10" s="816"/>
      <c r="F10" s="816"/>
      <c r="G10" s="816"/>
      <c r="H10" s="816"/>
    </row>
    <row r="11" spans="1:10" ht="15.5" x14ac:dyDescent="0.35">
      <c r="A11" s="1"/>
      <c r="B11" s="1"/>
      <c r="C11" s="1"/>
      <c r="D11" s="1"/>
      <c r="E11" s="1"/>
      <c r="F11" s="1"/>
      <c r="G11" s="1"/>
      <c r="H11" s="1"/>
    </row>
    <row r="12" spans="1:10" ht="15.5" x14ac:dyDescent="0.35">
      <c r="A12" s="1"/>
      <c r="B12" s="1"/>
      <c r="C12" s="1"/>
      <c r="D12" s="1"/>
      <c r="E12" s="1"/>
      <c r="F12" s="1"/>
      <c r="G12" s="1"/>
      <c r="H12" s="1"/>
    </row>
    <row r="13" spans="1:10" ht="15.5" x14ac:dyDescent="0.35">
      <c r="A13" s="1"/>
      <c r="B13" s="1"/>
      <c r="C13" s="1"/>
      <c r="D13" s="1"/>
      <c r="E13" s="1"/>
      <c r="F13" s="1"/>
      <c r="G13" s="1"/>
      <c r="H13" s="1"/>
    </row>
    <row r="14" spans="1:10" ht="15.5" x14ac:dyDescent="0.35">
      <c r="A14" s="1" t="s">
        <v>700</v>
      </c>
      <c r="B14" s="1"/>
      <c r="C14" s="1"/>
      <c r="D14" s="1"/>
      <c r="E14" s="1"/>
      <c r="F14" s="575"/>
      <c r="G14" s="575"/>
      <c r="H14" s="575"/>
    </row>
    <row r="15" spans="1:10" ht="15.5" x14ac:dyDescent="0.35">
      <c r="A15" s="1"/>
      <c r="B15" s="1"/>
      <c r="C15" s="1"/>
      <c r="D15" s="1"/>
      <c r="E15" s="1"/>
      <c r="F15" s="1" t="s">
        <v>701</v>
      </c>
    </row>
  </sheetData>
  <mergeCells count="6">
    <mergeCell ref="A1:H1"/>
    <mergeCell ref="A3:H3"/>
    <mergeCell ref="B5:H5"/>
    <mergeCell ref="B8:H8"/>
    <mergeCell ref="A10:H10"/>
    <mergeCell ref="B6:H6"/>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C198D-207B-4B6B-A9B0-DE89018EB696}">
  <sheetPr codeName="Sheet43">
    <tabColor rgb="FFFF3399"/>
  </sheetPr>
  <dimension ref="A1:G24"/>
  <sheetViews>
    <sheetView tabSelected="1" workbookViewId="0">
      <selection activeCell="U35" sqref="U35"/>
    </sheetView>
  </sheetViews>
  <sheetFormatPr defaultRowHeight="15.5" x14ac:dyDescent="0.35"/>
  <cols>
    <col min="1" max="3" width="11.58203125" style="624" customWidth="1"/>
    <col min="4" max="4" width="12.08203125" style="624" customWidth="1"/>
    <col min="5" max="7" width="8.6640625" style="624" customWidth="1"/>
    <col min="8" max="256" width="8.9140625" style="624"/>
    <col min="257" max="260" width="11.58203125" style="624" customWidth="1"/>
    <col min="261" max="263" width="10.58203125" style="624" customWidth="1"/>
    <col min="264" max="512" width="8.9140625" style="624"/>
    <col min="513" max="516" width="11.58203125" style="624" customWidth="1"/>
    <col min="517" max="519" width="10.58203125" style="624" customWidth="1"/>
    <col min="520" max="768" width="8.9140625" style="624"/>
    <col min="769" max="772" width="11.58203125" style="624" customWidth="1"/>
    <col min="773" max="775" width="10.58203125" style="624" customWidth="1"/>
    <col min="776" max="1024" width="8.9140625" style="624"/>
    <col min="1025" max="1028" width="11.58203125" style="624" customWidth="1"/>
    <col min="1029" max="1031" width="10.58203125" style="624" customWidth="1"/>
    <col min="1032" max="1280" width="8.9140625" style="624"/>
    <col min="1281" max="1284" width="11.58203125" style="624" customWidth="1"/>
    <col min="1285" max="1287" width="10.58203125" style="624" customWidth="1"/>
    <col min="1288" max="1536" width="8.9140625" style="624"/>
    <col min="1537" max="1540" width="11.58203125" style="624" customWidth="1"/>
    <col min="1541" max="1543" width="10.58203125" style="624" customWidth="1"/>
    <col min="1544" max="1792" width="8.9140625" style="624"/>
    <col min="1793" max="1796" width="11.58203125" style="624" customWidth="1"/>
    <col min="1797" max="1799" width="10.58203125" style="624" customWidth="1"/>
    <col min="1800" max="2048" width="8.9140625" style="624"/>
    <col min="2049" max="2052" width="11.58203125" style="624" customWidth="1"/>
    <col min="2053" max="2055" width="10.58203125" style="624" customWidth="1"/>
    <col min="2056" max="2304" width="8.9140625" style="624"/>
    <col min="2305" max="2308" width="11.58203125" style="624" customWidth="1"/>
    <col min="2309" max="2311" width="10.58203125" style="624" customWidth="1"/>
    <col min="2312" max="2560" width="8.9140625" style="624"/>
    <col min="2561" max="2564" width="11.58203125" style="624" customWidth="1"/>
    <col min="2565" max="2567" width="10.58203125" style="624" customWidth="1"/>
    <col min="2568" max="2816" width="8.9140625" style="624"/>
    <col min="2817" max="2820" width="11.58203125" style="624" customWidth="1"/>
    <col min="2821" max="2823" width="10.58203125" style="624" customWidth="1"/>
    <col min="2824" max="3072" width="8.9140625" style="624"/>
    <col min="3073" max="3076" width="11.58203125" style="624" customWidth="1"/>
    <col min="3077" max="3079" width="10.58203125" style="624" customWidth="1"/>
    <col min="3080" max="3328" width="8.9140625" style="624"/>
    <col min="3329" max="3332" width="11.58203125" style="624" customWidth="1"/>
    <col min="3333" max="3335" width="10.58203125" style="624" customWidth="1"/>
    <col min="3336" max="3584" width="8.9140625" style="624"/>
    <col min="3585" max="3588" width="11.58203125" style="624" customWidth="1"/>
    <col min="3589" max="3591" width="10.58203125" style="624" customWidth="1"/>
    <col min="3592" max="3840" width="8.9140625" style="624"/>
    <col min="3841" max="3844" width="11.58203125" style="624" customWidth="1"/>
    <col min="3845" max="3847" width="10.58203125" style="624" customWidth="1"/>
    <col min="3848" max="4096" width="8.9140625" style="624"/>
    <col min="4097" max="4100" width="11.58203125" style="624" customWidth="1"/>
    <col min="4101" max="4103" width="10.58203125" style="624" customWidth="1"/>
    <col min="4104" max="4352" width="8.9140625" style="624"/>
    <col min="4353" max="4356" width="11.58203125" style="624" customWidth="1"/>
    <col min="4357" max="4359" width="10.58203125" style="624" customWidth="1"/>
    <col min="4360" max="4608" width="8.9140625" style="624"/>
    <col min="4609" max="4612" width="11.58203125" style="624" customWidth="1"/>
    <col min="4613" max="4615" width="10.58203125" style="624" customWidth="1"/>
    <col min="4616" max="4864" width="8.9140625" style="624"/>
    <col min="4865" max="4868" width="11.58203125" style="624" customWidth="1"/>
    <col min="4869" max="4871" width="10.58203125" style="624" customWidth="1"/>
    <col min="4872" max="5120" width="8.9140625" style="624"/>
    <col min="5121" max="5124" width="11.58203125" style="624" customWidth="1"/>
    <col min="5125" max="5127" width="10.58203125" style="624" customWidth="1"/>
    <col min="5128" max="5376" width="8.9140625" style="624"/>
    <col min="5377" max="5380" width="11.58203125" style="624" customWidth="1"/>
    <col min="5381" max="5383" width="10.58203125" style="624" customWidth="1"/>
    <col min="5384" max="5632" width="8.9140625" style="624"/>
    <col min="5633" max="5636" width="11.58203125" style="624" customWidth="1"/>
    <col min="5637" max="5639" width="10.58203125" style="624" customWidth="1"/>
    <col min="5640" max="5888" width="8.9140625" style="624"/>
    <col min="5889" max="5892" width="11.58203125" style="624" customWidth="1"/>
    <col min="5893" max="5895" width="10.58203125" style="624" customWidth="1"/>
    <col min="5896" max="6144" width="8.9140625" style="624"/>
    <col min="6145" max="6148" width="11.58203125" style="624" customWidth="1"/>
    <col min="6149" max="6151" width="10.58203125" style="624" customWidth="1"/>
    <col min="6152" max="6400" width="8.9140625" style="624"/>
    <col min="6401" max="6404" width="11.58203125" style="624" customWidth="1"/>
    <col min="6405" max="6407" width="10.58203125" style="624" customWidth="1"/>
    <col min="6408" max="6656" width="8.9140625" style="624"/>
    <col min="6657" max="6660" width="11.58203125" style="624" customWidth="1"/>
    <col min="6661" max="6663" width="10.58203125" style="624" customWidth="1"/>
    <col min="6664" max="6912" width="8.9140625" style="624"/>
    <col min="6913" max="6916" width="11.58203125" style="624" customWidth="1"/>
    <col min="6917" max="6919" width="10.58203125" style="624" customWidth="1"/>
    <col min="6920" max="7168" width="8.9140625" style="624"/>
    <col min="7169" max="7172" width="11.58203125" style="624" customWidth="1"/>
    <col min="7173" max="7175" width="10.58203125" style="624" customWidth="1"/>
    <col min="7176" max="7424" width="8.9140625" style="624"/>
    <col min="7425" max="7428" width="11.58203125" style="624" customWidth="1"/>
    <col min="7429" max="7431" width="10.58203125" style="624" customWidth="1"/>
    <col min="7432" max="7680" width="8.9140625" style="624"/>
    <col min="7681" max="7684" width="11.58203125" style="624" customWidth="1"/>
    <col min="7685" max="7687" width="10.58203125" style="624" customWidth="1"/>
    <col min="7688" max="7936" width="8.9140625" style="624"/>
    <col min="7937" max="7940" width="11.58203125" style="624" customWidth="1"/>
    <col min="7941" max="7943" width="10.58203125" style="624" customWidth="1"/>
    <col min="7944" max="8192" width="8.9140625" style="624"/>
    <col min="8193" max="8196" width="11.58203125" style="624" customWidth="1"/>
    <col min="8197" max="8199" width="10.58203125" style="624" customWidth="1"/>
    <col min="8200" max="8448" width="8.9140625" style="624"/>
    <col min="8449" max="8452" width="11.58203125" style="624" customWidth="1"/>
    <col min="8453" max="8455" width="10.58203125" style="624" customWidth="1"/>
    <col min="8456" max="8704" width="8.9140625" style="624"/>
    <col min="8705" max="8708" width="11.58203125" style="624" customWidth="1"/>
    <col min="8709" max="8711" width="10.58203125" style="624" customWidth="1"/>
    <col min="8712" max="8960" width="8.9140625" style="624"/>
    <col min="8961" max="8964" width="11.58203125" style="624" customWidth="1"/>
    <col min="8965" max="8967" width="10.58203125" style="624" customWidth="1"/>
    <col min="8968" max="9216" width="8.9140625" style="624"/>
    <col min="9217" max="9220" width="11.58203125" style="624" customWidth="1"/>
    <col min="9221" max="9223" width="10.58203125" style="624" customWidth="1"/>
    <col min="9224" max="9472" width="8.9140625" style="624"/>
    <col min="9473" max="9476" width="11.58203125" style="624" customWidth="1"/>
    <col min="9477" max="9479" width="10.58203125" style="624" customWidth="1"/>
    <col min="9480" max="9728" width="8.9140625" style="624"/>
    <col min="9729" max="9732" width="11.58203125" style="624" customWidth="1"/>
    <col min="9733" max="9735" width="10.58203125" style="624" customWidth="1"/>
    <col min="9736" max="9984" width="8.9140625" style="624"/>
    <col min="9985" max="9988" width="11.58203125" style="624" customWidth="1"/>
    <col min="9989" max="9991" width="10.58203125" style="624" customWidth="1"/>
    <col min="9992" max="10240" width="8.9140625" style="624"/>
    <col min="10241" max="10244" width="11.58203125" style="624" customWidth="1"/>
    <col min="10245" max="10247" width="10.58203125" style="624" customWidth="1"/>
    <col min="10248" max="10496" width="8.9140625" style="624"/>
    <col min="10497" max="10500" width="11.58203125" style="624" customWidth="1"/>
    <col min="10501" max="10503" width="10.58203125" style="624" customWidth="1"/>
    <col min="10504" max="10752" width="8.9140625" style="624"/>
    <col min="10753" max="10756" width="11.58203125" style="624" customWidth="1"/>
    <col min="10757" max="10759" width="10.58203125" style="624" customWidth="1"/>
    <col min="10760" max="11008" width="8.9140625" style="624"/>
    <col min="11009" max="11012" width="11.58203125" style="624" customWidth="1"/>
    <col min="11013" max="11015" width="10.58203125" style="624" customWidth="1"/>
    <col min="11016" max="11264" width="8.9140625" style="624"/>
    <col min="11265" max="11268" width="11.58203125" style="624" customWidth="1"/>
    <col min="11269" max="11271" width="10.58203125" style="624" customWidth="1"/>
    <col min="11272" max="11520" width="8.9140625" style="624"/>
    <col min="11521" max="11524" width="11.58203125" style="624" customWidth="1"/>
    <col min="11525" max="11527" width="10.58203125" style="624" customWidth="1"/>
    <col min="11528" max="11776" width="8.9140625" style="624"/>
    <col min="11777" max="11780" width="11.58203125" style="624" customWidth="1"/>
    <col min="11781" max="11783" width="10.58203125" style="624" customWidth="1"/>
    <col min="11784" max="12032" width="8.9140625" style="624"/>
    <col min="12033" max="12036" width="11.58203125" style="624" customWidth="1"/>
    <col min="12037" max="12039" width="10.58203125" style="624" customWidth="1"/>
    <col min="12040" max="12288" width="8.9140625" style="624"/>
    <col min="12289" max="12292" width="11.58203125" style="624" customWidth="1"/>
    <col min="12293" max="12295" width="10.58203125" style="624" customWidth="1"/>
    <col min="12296" max="12544" width="8.9140625" style="624"/>
    <col min="12545" max="12548" width="11.58203125" style="624" customWidth="1"/>
    <col min="12549" max="12551" width="10.58203125" style="624" customWidth="1"/>
    <col min="12552" max="12800" width="8.9140625" style="624"/>
    <col min="12801" max="12804" width="11.58203125" style="624" customWidth="1"/>
    <col min="12805" max="12807" width="10.58203125" style="624" customWidth="1"/>
    <col min="12808" max="13056" width="8.9140625" style="624"/>
    <col min="13057" max="13060" width="11.58203125" style="624" customWidth="1"/>
    <col min="13061" max="13063" width="10.58203125" style="624" customWidth="1"/>
    <col min="13064" max="13312" width="8.9140625" style="624"/>
    <col min="13313" max="13316" width="11.58203125" style="624" customWidth="1"/>
    <col min="13317" max="13319" width="10.58203125" style="624" customWidth="1"/>
    <col min="13320" max="13568" width="8.9140625" style="624"/>
    <col min="13569" max="13572" width="11.58203125" style="624" customWidth="1"/>
    <col min="13573" max="13575" width="10.58203125" style="624" customWidth="1"/>
    <col min="13576" max="13824" width="8.9140625" style="624"/>
    <col min="13825" max="13828" width="11.58203125" style="624" customWidth="1"/>
    <col min="13829" max="13831" width="10.58203125" style="624" customWidth="1"/>
    <col min="13832" max="14080" width="8.9140625" style="624"/>
    <col min="14081" max="14084" width="11.58203125" style="624" customWidth="1"/>
    <col min="14085" max="14087" width="10.58203125" style="624" customWidth="1"/>
    <col min="14088" max="14336" width="8.9140625" style="624"/>
    <col min="14337" max="14340" width="11.58203125" style="624" customWidth="1"/>
    <col min="14341" max="14343" width="10.58203125" style="624" customWidth="1"/>
    <col min="14344" max="14592" width="8.9140625" style="624"/>
    <col min="14593" max="14596" width="11.58203125" style="624" customWidth="1"/>
    <col min="14597" max="14599" width="10.58203125" style="624" customWidth="1"/>
    <col min="14600" max="14848" width="8.9140625" style="624"/>
    <col min="14849" max="14852" width="11.58203125" style="624" customWidth="1"/>
    <col min="14853" max="14855" width="10.58203125" style="624" customWidth="1"/>
    <col min="14856" max="15104" width="8.9140625" style="624"/>
    <col min="15105" max="15108" width="11.58203125" style="624" customWidth="1"/>
    <col min="15109" max="15111" width="10.58203125" style="624" customWidth="1"/>
    <col min="15112" max="15360" width="8.9140625" style="624"/>
    <col min="15361" max="15364" width="11.58203125" style="624" customWidth="1"/>
    <col min="15365" max="15367" width="10.58203125" style="624" customWidth="1"/>
    <col min="15368" max="15616" width="8.9140625" style="624"/>
    <col min="15617" max="15620" width="11.58203125" style="624" customWidth="1"/>
    <col min="15621" max="15623" width="10.58203125" style="624" customWidth="1"/>
    <col min="15624" max="15872" width="8.9140625" style="624"/>
    <col min="15873" max="15876" width="11.58203125" style="624" customWidth="1"/>
    <col min="15877" max="15879" width="10.58203125" style="624" customWidth="1"/>
    <col min="15880" max="16128" width="8.9140625" style="624"/>
    <col min="16129" max="16132" width="11.58203125" style="624" customWidth="1"/>
    <col min="16133" max="16135" width="10.58203125" style="624" customWidth="1"/>
    <col min="16136" max="16384" width="8.9140625" style="624"/>
  </cols>
  <sheetData>
    <row r="1" spans="1:7" ht="18.5" x14ac:dyDescent="0.45">
      <c r="A1" s="818" t="s">
        <v>949</v>
      </c>
      <c r="B1" s="818"/>
      <c r="C1" s="818"/>
      <c r="D1" s="818"/>
      <c r="E1" s="818"/>
      <c r="F1" s="818"/>
      <c r="G1" s="818"/>
    </row>
    <row r="2" spans="1:7" x14ac:dyDescent="0.35">
      <c r="A2" s="625"/>
      <c r="B2" s="625"/>
      <c r="C2" s="625"/>
      <c r="D2" s="625"/>
      <c r="E2" s="625"/>
      <c r="F2" s="625"/>
      <c r="G2" s="625"/>
    </row>
    <row r="3" spans="1:7" ht="32.25" customHeight="1" x14ac:dyDescent="0.35">
      <c r="A3" s="819" t="s">
        <v>1180</v>
      </c>
      <c r="B3" s="819"/>
      <c r="C3" s="819"/>
      <c r="D3" s="819"/>
      <c r="E3" s="819"/>
      <c r="F3" s="819"/>
      <c r="G3" s="819"/>
    </row>
    <row r="4" spans="1:7" ht="8.25" customHeight="1" x14ac:dyDescent="0.35">
      <c r="A4" s="626"/>
      <c r="B4" s="626"/>
      <c r="C4" s="626"/>
      <c r="D4" s="626"/>
      <c r="E4" s="626"/>
      <c r="F4" s="626"/>
      <c r="G4" s="626"/>
    </row>
    <row r="5" spans="1:7" x14ac:dyDescent="0.35">
      <c r="A5" s="820" t="s">
        <v>1181</v>
      </c>
      <c r="B5" s="820"/>
      <c r="C5" s="820"/>
      <c r="D5" s="820"/>
      <c r="E5" s="820"/>
      <c r="F5" s="820"/>
      <c r="G5" s="820"/>
    </row>
    <row r="6" spans="1:7" ht="8.25" customHeight="1" x14ac:dyDescent="0.35">
      <c r="A6" s="627"/>
      <c r="B6" s="627"/>
      <c r="C6" s="627"/>
      <c r="D6" s="627"/>
      <c r="E6" s="627"/>
      <c r="F6" s="627"/>
      <c r="G6" s="627"/>
    </row>
    <row r="7" spans="1:7" x14ac:dyDescent="0.35">
      <c r="A7" s="820" t="s">
        <v>1191</v>
      </c>
      <c r="B7" s="820"/>
      <c r="C7" s="820"/>
      <c r="D7" s="820"/>
      <c r="E7" s="820"/>
      <c r="F7" s="820"/>
      <c r="G7" s="820"/>
    </row>
    <row r="8" spans="1:7" x14ac:dyDescent="0.35">
      <c r="A8" s="627"/>
      <c r="B8" s="627"/>
      <c r="C8" s="627"/>
      <c r="D8" s="627"/>
      <c r="E8" s="627"/>
      <c r="F8" s="627"/>
      <c r="G8" s="627"/>
    </row>
    <row r="9" spans="1:7" ht="22.5" customHeight="1" x14ac:dyDescent="0.35">
      <c r="A9" s="821" t="s">
        <v>950</v>
      </c>
      <c r="B9" s="822"/>
      <c r="C9" s="822"/>
      <c r="D9" s="823"/>
      <c r="E9" s="628" t="s">
        <v>951</v>
      </c>
      <c r="F9" s="628" t="s">
        <v>952</v>
      </c>
      <c r="G9" s="628" t="s">
        <v>953</v>
      </c>
    </row>
    <row r="10" spans="1:7" ht="22.5" customHeight="1" x14ac:dyDescent="0.35">
      <c r="A10" s="826" t="s">
        <v>1182</v>
      </c>
      <c r="B10" s="827"/>
      <c r="C10" s="827"/>
      <c r="D10" s="828"/>
      <c r="E10" s="629"/>
      <c r="F10" s="629"/>
      <c r="G10" s="629"/>
    </row>
    <row r="11" spans="1:7" ht="22.5" customHeight="1" x14ac:dyDescent="0.35">
      <c r="A11" s="826" t="s">
        <v>1183</v>
      </c>
      <c r="B11" s="827"/>
      <c r="C11" s="827"/>
      <c r="D11" s="828"/>
      <c r="E11" s="629"/>
      <c r="F11" s="629"/>
      <c r="G11" s="629"/>
    </row>
    <row r="12" spans="1:7" ht="22.5" customHeight="1" x14ac:dyDescent="0.35">
      <c r="A12" s="824" t="s">
        <v>1184</v>
      </c>
      <c r="B12" s="824"/>
      <c r="C12" s="824"/>
      <c r="D12" s="824"/>
      <c r="E12" s="629"/>
      <c r="F12" s="629"/>
      <c r="G12" s="629"/>
    </row>
    <row r="13" spans="1:7" ht="22.5" customHeight="1" x14ac:dyDescent="0.35">
      <c r="A13" s="824" t="s">
        <v>1185</v>
      </c>
      <c r="B13" s="824"/>
      <c r="C13" s="824"/>
      <c r="D13" s="824"/>
      <c r="E13" s="629"/>
      <c r="F13" s="629"/>
      <c r="G13" s="629"/>
    </row>
    <row r="14" spans="1:7" ht="22.5" customHeight="1" x14ac:dyDescent="0.35">
      <c r="A14" s="824" t="s">
        <v>1186</v>
      </c>
      <c r="B14" s="824"/>
      <c r="C14" s="824"/>
      <c r="D14" s="824"/>
      <c r="E14" s="629"/>
      <c r="F14" s="629"/>
      <c r="G14" s="629"/>
    </row>
    <row r="15" spans="1:7" ht="22.5" customHeight="1" x14ac:dyDescent="0.35">
      <c r="A15" s="824" t="s">
        <v>1187</v>
      </c>
      <c r="B15" s="824"/>
      <c r="C15" s="824"/>
      <c r="D15" s="824"/>
      <c r="E15" s="629"/>
      <c r="F15" s="629"/>
      <c r="G15" s="629"/>
    </row>
    <row r="16" spans="1:7" ht="22.5" customHeight="1" x14ac:dyDescent="0.35">
      <c r="A16" s="824" t="s">
        <v>1188</v>
      </c>
      <c r="B16" s="824"/>
      <c r="C16" s="824"/>
      <c r="D16" s="824"/>
      <c r="E16" s="629"/>
      <c r="F16" s="629"/>
      <c r="G16" s="629"/>
    </row>
    <row r="17" spans="1:7" ht="22.5" customHeight="1" x14ac:dyDescent="0.35">
      <c r="A17" s="824" t="s">
        <v>1189</v>
      </c>
      <c r="B17" s="824"/>
      <c r="C17" s="824"/>
      <c r="D17" s="824"/>
      <c r="E17" s="629"/>
      <c r="F17" s="629"/>
      <c r="G17" s="629"/>
    </row>
    <row r="18" spans="1:7" ht="22.5" customHeight="1" thickBot="1" x14ac:dyDescent="0.4">
      <c r="A18" s="829" t="s">
        <v>1190</v>
      </c>
      <c r="B18" s="829"/>
      <c r="C18" s="829"/>
      <c r="D18" s="829"/>
      <c r="E18" s="630"/>
      <c r="F18" s="630"/>
      <c r="G18" s="630"/>
    </row>
    <row r="19" spans="1:7" ht="22.5" customHeight="1" thickTop="1" x14ac:dyDescent="0.35">
      <c r="A19" s="830" t="s">
        <v>53</v>
      </c>
      <c r="B19" s="830"/>
      <c r="C19" s="830"/>
      <c r="D19" s="830"/>
      <c r="E19" s="631"/>
      <c r="F19" s="631"/>
      <c r="G19" s="631"/>
    </row>
    <row r="21" spans="1:7" x14ac:dyDescent="0.35">
      <c r="A21" s="632" t="s">
        <v>954</v>
      </c>
      <c r="B21" s="633"/>
    </row>
    <row r="22" spans="1:7" x14ac:dyDescent="0.35">
      <c r="A22" s="632"/>
      <c r="B22" s="633"/>
    </row>
    <row r="23" spans="1:7" x14ac:dyDescent="0.35">
      <c r="A23" s="831"/>
      <c r="B23" s="831"/>
      <c r="C23" s="831"/>
    </row>
    <row r="24" spans="1:7" x14ac:dyDescent="0.35">
      <c r="A24" s="825" t="s">
        <v>1005</v>
      </c>
      <c r="B24" s="825"/>
      <c r="C24" s="825"/>
    </row>
  </sheetData>
  <mergeCells count="17">
    <mergeCell ref="A14:D14"/>
    <mergeCell ref="A15:D15"/>
    <mergeCell ref="A16:D16"/>
    <mergeCell ref="A24:C24"/>
    <mergeCell ref="A10:D10"/>
    <mergeCell ref="A17:D17"/>
    <mergeCell ref="A18:D18"/>
    <mergeCell ref="A19:D19"/>
    <mergeCell ref="A23:C23"/>
    <mergeCell ref="A11:D11"/>
    <mergeCell ref="A12:D12"/>
    <mergeCell ref="A13:D13"/>
    <mergeCell ref="A1:G1"/>
    <mergeCell ref="A3:G3"/>
    <mergeCell ref="A5:G5"/>
    <mergeCell ref="A7:G7"/>
    <mergeCell ref="A9:D9"/>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B6A78-9861-4024-8F29-920FF0F6916D}">
  <sheetPr codeName="Sheet44">
    <tabColor rgb="FFFF3399"/>
  </sheetPr>
  <dimension ref="A1:G18"/>
  <sheetViews>
    <sheetView workbookViewId="0">
      <selection activeCell="W26" sqref="W26"/>
    </sheetView>
  </sheetViews>
  <sheetFormatPr defaultRowHeight="15.5" x14ac:dyDescent="0.35"/>
  <cols>
    <col min="1" max="1" width="8.9140625" style="1"/>
    <col min="4" max="4" width="18" customWidth="1"/>
    <col min="7" max="7" width="12.75" customWidth="1"/>
  </cols>
  <sheetData>
    <row r="1" spans="1:7" x14ac:dyDescent="0.35">
      <c r="A1" s="816" t="s">
        <v>1191</v>
      </c>
      <c r="B1" s="816"/>
      <c r="C1" s="816"/>
      <c r="D1" s="816"/>
      <c r="E1" s="816"/>
      <c r="F1" s="816"/>
      <c r="G1" s="816"/>
    </row>
    <row r="3" spans="1:7" ht="55.5" customHeight="1" x14ac:dyDescent="0.3">
      <c r="A3" s="832" t="s">
        <v>1173</v>
      </c>
      <c r="B3" s="832"/>
      <c r="C3" s="832"/>
      <c r="D3" s="832"/>
      <c r="E3" s="832"/>
      <c r="F3" s="832"/>
      <c r="G3" s="832"/>
    </row>
    <row r="4" spans="1:7" ht="55.5" customHeight="1" x14ac:dyDescent="0.35">
      <c r="A4" s="833" t="s">
        <v>1174</v>
      </c>
      <c r="B4" s="833"/>
      <c r="C4" s="833"/>
      <c r="D4" s="833"/>
      <c r="E4" s="833"/>
      <c r="F4" s="833"/>
      <c r="G4" s="833"/>
    </row>
    <row r="5" spans="1:7" ht="55.5" customHeight="1" x14ac:dyDescent="0.35">
      <c r="A5" s="833" t="s">
        <v>1175</v>
      </c>
      <c r="B5" s="833"/>
      <c r="C5" s="833"/>
      <c r="D5" s="833"/>
      <c r="E5" s="833"/>
      <c r="F5" s="833"/>
      <c r="G5" s="833"/>
    </row>
    <row r="6" spans="1:7" ht="55.5" customHeight="1" x14ac:dyDescent="0.35">
      <c r="A6" s="833" t="s">
        <v>1177</v>
      </c>
      <c r="B6" s="833"/>
      <c r="C6" s="833"/>
      <c r="D6" s="833"/>
      <c r="E6" s="833"/>
      <c r="F6" s="833"/>
      <c r="G6" s="833"/>
    </row>
    <row r="7" spans="1:7" ht="55.5" customHeight="1" x14ac:dyDescent="0.35">
      <c r="A7" s="833" t="s">
        <v>1176</v>
      </c>
      <c r="B7" s="833"/>
      <c r="C7" s="833"/>
      <c r="D7" s="833"/>
      <c r="E7" s="833"/>
      <c r="F7" s="833"/>
      <c r="G7" s="833"/>
    </row>
    <row r="8" spans="1:7" ht="55.5" customHeight="1" x14ac:dyDescent="0.3">
      <c r="A8" s="832" t="s">
        <v>1178</v>
      </c>
      <c r="B8" s="832"/>
      <c r="C8" s="832"/>
      <c r="D8" s="832"/>
      <c r="E8" s="832"/>
      <c r="F8" s="832"/>
      <c r="G8" s="832"/>
    </row>
    <row r="9" spans="1:7" ht="55.5" customHeight="1" x14ac:dyDescent="0.35">
      <c r="A9" s="833" t="s">
        <v>1179</v>
      </c>
      <c r="B9" s="833"/>
      <c r="C9" s="833"/>
      <c r="D9" s="833"/>
      <c r="E9" s="833"/>
      <c r="F9" s="833"/>
      <c r="G9" s="833"/>
    </row>
    <row r="10" spans="1:7" ht="55.5" customHeight="1" x14ac:dyDescent="0.35">
      <c r="A10" s="833" t="s">
        <v>691</v>
      </c>
      <c r="B10" s="833"/>
      <c r="C10" s="833"/>
      <c r="D10" s="833"/>
      <c r="E10" s="833"/>
      <c r="F10" s="833"/>
      <c r="G10" s="833"/>
    </row>
    <row r="11" spans="1:7" ht="55.5" customHeight="1" x14ac:dyDescent="0.35">
      <c r="A11" s="833" t="s">
        <v>692</v>
      </c>
      <c r="B11" s="833"/>
      <c r="C11" s="833"/>
      <c r="D11" s="833"/>
      <c r="E11" s="833"/>
      <c r="F11" s="833"/>
      <c r="G11" s="833"/>
    </row>
    <row r="12" spans="1:7" ht="15.75" customHeight="1" x14ac:dyDescent="0.35">
      <c r="A12" s="296"/>
      <c r="B12" s="296"/>
      <c r="C12" s="296"/>
      <c r="D12" s="296"/>
      <c r="E12" s="296"/>
      <c r="F12" s="296"/>
      <c r="G12" s="296"/>
    </row>
    <row r="13" spans="1:7" x14ac:dyDescent="0.35">
      <c r="A13" s="815" t="s">
        <v>693</v>
      </c>
      <c r="B13" s="815"/>
      <c r="C13" s="815"/>
      <c r="D13" s="815"/>
      <c r="E13" s="815"/>
      <c r="F13" s="815"/>
      <c r="G13" s="815"/>
    </row>
    <row r="14" spans="1:7" x14ac:dyDescent="0.35">
      <c r="A14" s="815" t="s">
        <v>694</v>
      </c>
      <c r="B14" s="815"/>
      <c r="C14" s="815"/>
      <c r="D14" s="815"/>
      <c r="E14" s="815"/>
      <c r="F14" s="815"/>
      <c r="G14" s="815"/>
    </row>
    <row r="15" spans="1:7" x14ac:dyDescent="0.35">
      <c r="A15" s="815" t="s">
        <v>695</v>
      </c>
      <c r="B15" s="815"/>
      <c r="C15" s="815"/>
      <c r="D15" s="815"/>
      <c r="E15" s="815"/>
      <c r="F15" s="815"/>
      <c r="G15" s="815"/>
    </row>
    <row r="16" spans="1:7" x14ac:dyDescent="0.35">
      <c r="A16" s="678"/>
      <c r="B16" s="678"/>
      <c r="C16" s="678"/>
      <c r="D16" s="678"/>
      <c r="E16" s="678"/>
      <c r="F16" s="678"/>
      <c r="G16" s="678"/>
    </row>
    <row r="17" spans="1:7" x14ac:dyDescent="0.35">
      <c r="A17" s="815" t="s">
        <v>696</v>
      </c>
      <c r="B17" s="815"/>
      <c r="C17" s="815"/>
      <c r="D17" s="815"/>
      <c r="E17" s="815"/>
      <c r="F17" s="815"/>
      <c r="G17" s="815"/>
    </row>
    <row r="18" spans="1:7" x14ac:dyDescent="0.35">
      <c r="A18" s="815" t="s">
        <v>697</v>
      </c>
      <c r="B18" s="815"/>
      <c r="C18" s="815"/>
      <c r="D18" s="815"/>
      <c r="E18" s="815"/>
      <c r="F18" s="815"/>
      <c r="G18" s="815"/>
    </row>
  </sheetData>
  <mergeCells count="15">
    <mergeCell ref="A7:G7"/>
    <mergeCell ref="A1:G1"/>
    <mergeCell ref="A3:G3"/>
    <mergeCell ref="A4:G4"/>
    <mergeCell ref="A5:G5"/>
    <mergeCell ref="A6:G6"/>
    <mergeCell ref="A15:G15"/>
    <mergeCell ref="A17:G17"/>
    <mergeCell ref="A18:G18"/>
    <mergeCell ref="A8:G8"/>
    <mergeCell ref="A9:G9"/>
    <mergeCell ref="A10:G10"/>
    <mergeCell ref="A11:G11"/>
    <mergeCell ref="A13:G13"/>
    <mergeCell ref="A14:G14"/>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E561A-1581-4031-90C5-B3C5F93FA6FF}">
  <sheetPr codeName="Sheet45">
    <tabColor rgb="FFFF0000"/>
  </sheetPr>
  <dimension ref="A1:L64"/>
  <sheetViews>
    <sheetView workbookViewId="0">
      <selection sqref="A1:A2"/>
    </sheetView>
  </sheetViews>
  <sheetFormatPr defaultRowHeight="15.5" x14ac:dyDescent="0.35"/>
  <cols>
    <col min="1" max="1" width="67" style="1" customWidth="1"/>
  </cols>
  <sheetData>
    <row r="1" spans="1:12" ht="15.75" customHeight="1" x14ac:dyDescent="0.25">
      <c r="A1" s="834" t="s">
        <v>645</v>
      </c>
    </row>
    <row r="2" spans="1:12" ht="15.75" customHeight="1" x14ac:dyDescent="0.25">
      <c r="A2" s="835"/>
    </row>
    <row r="3" spans="1:12" ht="15" x14ac:dyDescent="0.3">
      <c r="A3" s="558" t="s">
        <v>286</v>
      </c>
      <c r="B3" s="600"/>
      <c r="C3" s="600"/>
      <c r="D3" s="600"/>
      <c r="E3" s="600"/>
      <c r="F3" s="600"/>
      <c r="G3" s="600"/>
      <c r="H3" s="600"/>
      <c r="I3" s="600"/>
      <c r="J3" s="600"/>
      <c r="K3" s="600"/>
      <c r="L3" s="600"/>
    </row>
    <row r="5" spans="1:12" x14ac:dyDescent="0.35">
      <c r="A5" s="1" t="str">
        <f>CONCATENATE("Welcome. You have been directed to this tab because your ",inputPrYr!C6-2," total expenditures exceed your ")</f>
        <v xml:space="preserve">Welcome. You have been directed to this tab because your 2024 total expenditures exceed your </v>
      </c>
    </row>
    <row r="6" spans="1:12" x14ac:dyDescent="0.35">
      <c r="A6" s="1" t="str">
        <f>CONCATENATE(inputPrYr!C6-2," budget authority.")</f>
        <v>2024 budget authority.</v>
      </c>
    </row>
    <row r="8" spans="1:12" x14ac:dyDescent="0.35">
      <c r="A8" s="1" t="s">
        <v>721</v>
      </c>
    </row>
    <row r="9" spans="1:12" x14ac:dyDescent="0.35">
      <c r="A9" s="1" t="s">
        <v>722</v>
      </c>
    </row>
    <row r="11" spans="1:12" ht="15" x14ac:dyDescent="0.3">
      <c r="A11" s="560" t="s">
        <v>287</v>
      </c>
    </row>
    <row r="13" spans="1:12" x14ac:dyDescent="0.35">
      <c r="A13" s="1" t="s">
        <v>723</v>
      </c>
    </row>
    <row r="14" spans="1:12" x14ac:dyDescent="0.35">
      <c r="A14" s="1" t="str">
        <f>CONCATENATE("or the ",inputPrYr!C6," adopted budget has not been submitted to the county clerk) then the budget violation")</f>
        <v>or the 2026 adopted budget has not been submitted to the county clerk) then the budget violation</v>
      </c>
    </row>
    <row r="15" spans="1:12" x14ac:dyDescent="0.35">
      <c r="A15" s="1" t="s">
        <v>724</v>
      </c>
    </row>
    <row r="17" spans="1:1" ht="15" x14ac:dyDescent="0.3">
      <c r="A17" s="560" t="s">
        <v>288</v>
      </c>
    </row>
    <row r="18" spans="1:1" ht="15" x14ac:dyDescent="0.3">
      <c r="A18" s="560"/>
    </row>
    <row r="19" spans="1:1" x14ac:dyDescent="0.35">
      <c r="A19" s="1" t="s">
        <v>725</v>
      </c>
    </row>
    <row r="20" spans="1:1" x14ac:dyDescent="0.35">
      <c r="A20" s="1" t="str">
        <f>CONCATENATE("entered for this particular fund.  If your ",inputPrYr!C6-2," budget was amended, did you use the amended,")</f>
        <v>entered for this particular fund.  If your 2024 budget was amended, did you use the amended,</v>
      </c>
    </row>
    <row r="21" spans="1:1" x14ac:dyDescent="0.35">
      <c r="A21" s="1" t="s">
        <v>726</v>
      </c>
    </row>
    <row r="23" spans="1:1" x14ac:dyDescent="0.35">
      <c r="A23" s="1" t="str">
        <f>CONCATENATE("Next, look to see if any of your ",inputPrYr!C6-2," expenditures can be reduced or eliminated. For example,")</f>
        <v>Next, look to see if any of your 2024 expenditures can be reduced or eliminated. For example,</v>
      </c>
    </row>
    <row r="24" spans="1:1" x14ac:dyDescent="0.35">
      <c r="A24" s="1" t="s">
        <v>727</v>
      </c>
    </row>
    <row r="25" spans="1:1" x14ac:dyDescent="0.35">
      <c r="A25" s="1" t="s">
        <v>728</v>
      </c>
    </row>
    <row r="27" spans="1:1" x14ac:dyDescent="0.35">
      <c r="A27" s="1" t="str">
        <f>CONCATENATE("Additionally, do your ",inputPrYr!C6-2," receipts contain a reimbursement (e.g. FEMA)? If so, instead of")</f>
        <v>Additionally, do your 2024 receipts contain a reimbursement (e.g. FEMA)? If so, instead of</v>
      </c>
    </row>
    <row r="28" spans="1:1" x14ac:dyDescent="0.35">
      <c r="A28" s="1" t="s">
        <v>729</v>
      </c>
    </row>
    <row r="30" spans="1:1" x14ac:dyDescent="0.35">
      <c r="A30" s="1" t="s">
        <v>730</v>
      </c>
    </row>
    <row r="31" spans="1:1" x14ac:dyDescent="0.35">
      <c r="A31" s="1" t="s">
        <v>731</v>
      </c>
    </row>
    <row r="32" spans="1:1" x14ac:dyDescent="0.35">
      <c r="A32" s="1" t="s">
        <v>732</v>
      </c>
    </row>
    <row r="33" spans="1:1" x14ac:dyDescent="0.35">
      <c r="A33" s="1" t="s">
        <v>733</v>
      </c>
    </row>
    <row r="34" spans="1:1" x14ac:dyDescent="0.35">
      <c r="A34" s="1" t="s">
        <v>289</v>
      </c>
    </row>
    <row r="36" spans="1:1" x14ac:dyDescent="0.35">
      <c r="A36" s="1" t="s">
        <v>734</v>
      </c>
    </row>
    <row r="37" spans="1:1" x14ac:dyDescent="0.35">
      <c r="A37" s="1" t="s">
        <v>735</v>
      </c>
    </row>
    <row r="39" spans="1:1" x14ac:dyDescent="0.35">
      <c r="A39" s="1" t="s">
        <v>736</v>
      </c>
    </row>
    <row r="40" spans="1:1" x14ac:dyDescent="0.35">
      <c r="A40" s="1" t="s">
        <v>737</v>
      </c>
    </row>
    <row r="42" spans="1:1" ht="15" x14ac:dyDescent="0.3">
      <c r="A42" s="560" t="s">
        <v>290</v>
      </c>
    </row>
    <row r="44" spans="1:1" x14ac:dyDescent="0.35">
      <c r="A44" s="1" t="s">
        <v>738</v>
      </c>
    </row>
    <row r="45" spans="1:1" x14ac:dyDescent="0.35">
      <c r="A45" s="1" t="s">
        <v>739</v>
      </c>
    </row>
    <row r="46" spans="1:1" x14ac:dyDescent="0.35">
      <c r="A46" s="1" t="s">
        <v>740</v>
      </c>
    </row>
    <row r="47" spans="1:1" x14ac:dyDescent="0.35">
      <c r="A47" s="1" t="s">
        <v>741</v>
      </c>
    </row>
    <row r="48" spans="1:1" x14ac:dyDescent="0.35">
      <c r="A48" s="1" t="s">
        <v>742</v>
      </c>
    </row>
    <row r="49" spans="1:1" x14ac:dyDescent="0.35">
      <c r="A49" s="1" t="s">
        <v>743</v>
      </c>
    </row>
    <row r="50" spans="1:1" x14ac:dyDescent="0.35">
      <c r="A50" s="1" t="s">
        <v>744</v>
      </c>
    </row>
    <row r="51" spans="1:1" x14ac:dyDescent="0.35">
      <c r="A51" s="1" t="s">
        <v>745</v>
      </c>
    </row>
    <row r="53" spans="1:1" x14ac:dyDescent="0.35">
      <c r="A53" s="1" t="s">
        <v>746</v>
      </c>
    </row>
    <row r="54" spans="1:1" x14ac:dyDescent="0.35">
      <c r="A54" s="1" t="s">
        <v>747</v>
      </c>
    </row>
    <row r="56" spans="1:1" ht="15" x14ac:dyDescent="0.3">
      <c r="A56" s="560" t="str">
        <f>CONCATENATE("What if the ",inputPrYr!C6-2," financial records have been closed?")</f>
        <v>What if the 2024 financial records have been closed?</v>
      </c>
    </row>
    <row r="57" spans="1:1" x14ac:dyDescent="0.35">
      <c r="A57" s="1" t="s">
        <v>40</v>
      </c>
    </row>
    <row r="58" spans="1:1" x14ac:dyDescent="0.35">
      <c r="A58" s="1" t="str">
        <f>CONCATENATE("If the municipality financial records have been closed (i.e. an audit for ",inputPrYr!C6-2," has been completed, or")</f>
        <v>If the municipality financial records have been closed (i.e. an audit for 2024 has been completed, or</v>
      </c>
    </row>
    <row r="59" spans="1:1" x14ac:dyDescent="0.35">
      <c r="A59" s="1" t="str">
        <f>CONCATENATE("the ",inputPrYr!C6," the violation cannot be fixed and must be shown as it occurred. ")</f>
        <v xml:space="preserve">the 2026 the violation cannot be fixed and must be shown as it occurred. </v>
      </c>
    </row>
    <row r="61" spans="1:1" x14ac:dyDescent="0.35">
      <c r="A61" s="1" t="s">
        <v>748</v>
      </c>
    </row>
    <row r="62" spans="1:1" x14ac:dyDescent="0.35">
      <c r="A62" s="1" t="s">
        <v>749</v>
      </c>
    </row>
    <row r="64" spans="1:1" x14ac:dyDescent="0.35">
      <c r="A64" s="1" t="s">
        <v>291</v>
      </c>
    </row>
  </sheetData>
  <sheetProtection sheet="1" objects="1" scenarios="1"/>
  <mergeCells count="1">
    <mergeCell ref="A1:A2"/>
  </mergeCells>
  <pageMargins left="0.7" right="0.7" top="0.75" bottom="0.75" header="0.3" footer="0.3"/>
  <pageSetup orientation="portrait" r:id="rId1"/>
  <headerFooter>
    <oddFooter>&amp;Lrevised 10/02/09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pageSetUpPr fitToPage="1"/>
  </sheetPr>
  <dimension ref="A1:A40"/>
  <sheetViews>
    <sheetView workbookViewId="0">
      <selection activeCell="B1" sqref="B1"/>
    </sheetView>
  </sheetViews>
  <sheetFormatPr defaultRowHeight="12.5" x14ac:dyDescent="0.25"/>
  <cols>
    <col min="1" max="1" width="77.33203125" customWidth="1"/>
  </cols>
  <sheetData>
    <row r="1" spans="1:1" ht="15.75" customHeight="1" x14ac:dyDescent="0.25">
      <c r="A1" s="712" t="s">
        <v>535</v>
      </c>
    </row>
    <row r="2" spans="1:1" ht="15.75" customHeight="1" x14ac:dyDescent="0.25">
      <c r="A2" s="712"/>
    </row>
    <row r="3" spans="1:1" ht="15.75" customHeight="1" x14ac:dyDescent="0.25">
      <c r="A3" s="712"/>
    </row>
    <row r="4" spans="1:1" ht="15.75" customHeight="1" x14ac:dyDescent="0.25">
      <c r="A4" s="712"/>
    </row>
    <row r="5" spans="1:1" ht="15.75" customHeight="1" x14ac:dyDescent="0.25">
      <c r="A5" s="712"/>
    </row>
    <row r="6" spans="1:1" ht="15.75" customHeight="1" x14ac:dyDescent="0.25">
      <c r="A6" s="712"/>
    </row>
    <row r="7" spans="1:1" ht="15.75" customHeight="1" x14ac:dyDescent="0.25">
      <c r="A7" s="712"/>
    </row>
    <row r="8" spans="1:1" ht="15.75" customHeight="1" x14ac:dyDescent="0.25">
      <c r="A8" s="712"/>
    </row>
    <row r="9" spans="1:1" ht="15.75" customHeight="1" x14ac:dyDescent="0.25">
      <c r="A9" s="712"/>
    </row>
    <row r="10" spans="1:1" ht="15.75" customHeight="1" x14ac:dyDescent="0.25">
      <c r="A10" s="712"/>
    </row>
    <row r="11" spans="1:1" ht="15.75" customHeight="1" x14ac:dyDescent="0.25">
      <c r="A11" s="712"/>
    </row>
    <row r="12" spans="1:1" ht="15.75" customHeight="1" x14ac:dyDescent="0.25">
      <c r="A12" s="712"/>
    </row>
    <row r="13" spans="1:1" ht="15.75" customHeight="1" x14ac:dyDescent="0.25">
      <c r="A13" s="712"/>
    </row>
    <row r="14" spans="1:1" ht="15.75" customHeight="1" x14ac:dyDescent="0.25">
      <c r="A14" s="712"/>
    </row>
    <row r="15" spans="1:1" ht="15.75" customHeight="1" x14ac:dyDescent="0.25">
      <c r="A15" s="712"/>
    </row>
    <row r="16" spans="1:1" ht="15.75" customHeight="1" x14ac:dyDescent="0.25">
      <c r="A16" s="712"/>
    </row>
    <row r="17" spans="1:1" ht="15.75" customHeight="1" x14ac:dyDescent="0.25">
      <c r="A17" s="712"/>
    </row>
    <row r="18" spans="1:1" ht="15.75" customHeight="1" x14ac:dyDescent="0.25">
      <c r="A18" s="712"/>
    </row>
    <row r="19" spans="1:1" ht="15.75" customHeight="1" x14ac:dyDescent="0.25">
      <c r="A19" s="712"/>
    </row>
    <row r="20" spans="1:1" ht="15.75" customHeight="1" x14ac:dyDescent="0.25">
      <c r="A20" s="712"/>
    </row>
    <row r="21" spans="1:1" ht="15.75" customHeight="1" x14ac:dyDescent="0.25">
      <c r="A21" s="712"/>
    </row>
    <row r="22" spans="1:1" ht="15.75" customHeight="1" x14ac:dyDescent="0.25">
      <c r="A22" s="712"/>
    </row>
    <row r="23" spans="1:1" ht="15.75" customHeight="1" x14ac:dyDescent="0.25">
      <c r="A23" s="712"/>
    </row>
    <row r="24" spans="1:1" ht="15.75" customHeight="1" x14ac:dyDescent="0.25">
      <c r="A24" s="712"/>
    </row>
    <row r="25" spans="1:1" ht="15.75" customHeight="1" x14ac:dyDescent="0.25">
      <c r="A25" s="712"/>
    </row>
    <row r="26" spans="1:1" ht="15.75" customHeight="1" x14ac:dyDescent="0.25">
      <c r="A26" s="712"/>
    </row>
    <row r="27" spans="1:1" ht="15.75" customHeight="1" x14ac:dyDescent="0.25">
      <c r="A27" s="712"/>
    </row>
    <row r="28" spans="1:1" ht="15.75" customHeight="1" x14ac:dyDescent="0.25">
      <c r="A28" s="712"/>
    </row>
    <row r="29" spans="1:1" ht="15.75" customHeight="1" x14ac:dyDescent="0.25">
      <c r="A29" s="712"/>
    </row>
    <row r="30" spans="1:1" ht="15.75" customHeight="1" x14ac:dyDescent="0.25">
      <c r="A30" s="712"/>
    </row>
    <row r="31" spans="1:1" ht="15.75" customHeight="1" x14ac:dyDescent="0.25">
      <c r="A31" s="712"/>
    </row>
    <row r="32" spans="1:1" ht="15.75" customHeight="1" x14ac:dyDescent="0.25">
      <c r="A32" s="712"/>
    </row>
    <row r="33" spans="1:1" ht="15.75" customHeight="1" x14ac:dyDescent="0.25">
      <c r="A33" s="712"/>
    </row>
    <row r="34" spans="1:1" ht="15.75" customHeight="1" x14ac:dyDescent="0.25">
      <c r="A34" s="712"/>
    </row>
    <row r="35" spans="1:1" ht="15.75" customHeight="1" x14ac:dyDescent="0.25">
      <c r="A35" s="712"/>
    </row>
    <row r="36" spans="1:1" ht="15.75" customHeight="1" x14ac:dyDescent="0.25">
      <c r="A36" s="712"/>
    </row>
    <row r="37" spans="1:1" ht="15.75" customHeight="1" x14ac:dyDescent="0.25">
      <c r="A37" s="712"/>
    </row>
    <row r="38" spans="1:1" ht="15.75" customHeight="1" x14ac:dyDescent="0.25">
      <c r="A38" s="712"/>
    </row>
    <row r="39" spans="1:1" ht="15.75" customHeight="1" x14ac:dyDescent="0.25">
      <c r="A39" s="712"/>
    </row>
    <row r="40" spans="1:1" ht="15.75" customHeight="1" x14ac:dyDescent="0.25">
      <c r="A40" s="712"/>
    </row>
  </sheetData>
  <sheetProtection sheet="1" objects="1" scenarios="1"/>
  <mergeCells count="1">
    <mergeCell ref="A1:A40"/>
  </mergeCells>
  <pageMargins left="0.7" right="0.7" top="0.75" bottom="0.75" header="0.3" footer="0.3"/>
  <pageSetup scale="98" orientation="portrait" blackAndWhite="1"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7364-9E3B-4BE3-B54B-2221636B2579}">
  <sheetPr codeName="Sheet46">
    <tabColor rgb="FFFF0000"/>
  </sheetPr>
  <dimension ref="A1:J92"/>
  <sheetViews>
    <sheetView workbookViewId="0">
      <selection sqref="A1:A2"/>
    </sheetView>
  </sheetViews>
  <sheetFormatPr defaultRowHeight="15.5" x14ac:dyDescent="0.35"/>
  <cols>
    <col min="1" max="1" width="66.75" style="1" customWidth="1"/>
  </cols>
  <sheetData>
    <row r="1" spans="1:10" ht="15.75" customHeight="1" x14ac:dyDescent="0.25">
      <c r="A1" s="836" t="s">
        <v>646</v>
      </c>
    </row>
    <row r="2" spans="1:10" ht="15.75" customHeight="1" x14ac:dyDescent="0.25">
      <c r="A2" s="836"/>
    </row>
    <row r="3" spans="1:10" ht="15" x14ac:dyDescent="0.3">
      <c r="A3" s="558" t="s">
        <v>292</v>
      </c>
      <c r="B3" s="600"/>
      <c r="C3" s="600"/>
      <c r="D3" s="600"/>
      <c r="E3" s="600"/>
      <c r="F3" s="600"/>
      <c r="G3" s="600"/>
      <c r="H3" s="248"/>
      <c r="I3" s="248"/>
      <c r="J3" s="248"/>
    </row>
    <row r="5" spans="1:10" x14ac:dyDescent="0.35">
      <c r="A5" s="1" t="str">
        <f>CONCATENATE("Welcome. You have been directed to this tab because your ",inputPrYr!C6-2," expenditures show that you ")</f>
        <v xml:space="preserve">Welcome. You have been directed to this tab because your 2024 expenditures show that you </v>
      </c>
    </row>
    <row r="6" spans="1:10" x14ac:dyDescent="0.35">
      <c r="A6" s="1" t="s">
        <v>750</v>
      </c>
    </row>
    <row r="8" spans="1:10" x14ac:dyDescent="0.35">
      <c r="A8" s="1" t="s">
        <v>751</v>
      </c>
    </row>
    <row r="9" spans="1:10" x14ac:dyDescent="0.35">
      <c r="A9" s="1" t="s">
        <v>295</v>
      </c>
    </row>
    <row r="11" spans="1:10" ht="15" x14ac:dyDescent="0.3">
      <c r="A11" s="560" t="s">
        <v>293</v>
      </c>
    </row>
    <row r="12" spans="1:10" ht="15" x14ac:dyDescent="0.3">
      <c r="A12" s="560"/>
    </row>
    <row r="13" spans="1:10" x14ac:dyDescent="0.35">
      <c r="A13" s="1" t="s">
        <v>752</v>
      </c>
    </row>
    <row r="14" spans="1:10" x14ac:dyDescent="0.35">
      <c r="A14" s="1" t="s">
        <v>753</v>
      </c>
    </row>
    <row r="16" spans="1:10" ht="15" x14ac:dyDescent="0.3">
      <c r="A16" s="560" t="s">
        <v>294</v>
      </c>
    </row>
    <row r="17" spans="1:8" ht="15" x14ac:dyDescent="0.3">
      <c r="A17" s="560"/>
    </row>
    <row r="18" spans="1:8" x14ac:dyDescent="0.35">
      <c r="A18" s="1" t="s">
        <v>754</v>
      </c>
    </row>
    <row r="19" spans="1:8" x14ac:dyDescent="0.35">
      <c r="A19" s="1" t="s">
        <v>755</v>
      </c>
    </row>
    <row r="21" spans="1:8" x14ac:dyDescent="0.35">
      <c r="A21" s="560" t="s">
        <v>756</v>
      </c>
    </row>
    <row r="22" spans="1:8" ht="15" x14ac:dyDescent="0.3">
      <c r="A22" s="560"/>
    </row>
    <row r="23" spans="1:8" x14ac:dyDescent="0.35">
      <c r="A23" s="1" t="s">
        <v>757</v>
      </c>
    </row>
    <row r="24" spans="1:8" x14ac:dyDescent="0.35">
      <c r="A24" s="1" t="s">
        <v>758</v>
      </c>
    </row>
    <row r="26" spans="1:8" ht="15" x14ac:dyDescent="0.3">
      <c r="A26" s="560" t="s">
        <v>296</v>
      </c>
    </row>
    <row r="27" spans="1:8" ht="15" x14ac:dyDescent="0.3">
      <c r="A27" s="560"/>
    </row>
    <row r="28" spans="1:8" x14ac:dyDescent="0.35">
      <c r="A28" s="1" t="str">
        <f>CONCATENATE("If your financial records are not closed for ",inputPrYr!C6-2," (i.e.an audit has not been completed, or the")</f>
        <v>If your financial records are not closed for 2024 (i.e.an audit has not been completed, or the</v>
      </c>
      <c r="B28" s="601"/>
      <c r="C28" s="601"/>
      <c r="D28" s="601"/>
      <c r="E28" s="601"/>
      <c r="F28" s="601"/>
      <c r="G28" s="601"/>
      <c r="H28" s="601"/>
    </row>
    <row r="29" spans="1:8" x14ac:dyDescent="0.35">
      <c r="A29" s="1" t="str">
        <f>CONCATENATE(inputPrYr!C6," adopted budget has not been submitted to the county clerk) then either your fund receipts will")</f>
        <v>2026 adopted budget has not been submitted to the county clerk) then either your fund receipts will</v>
      </c>
      <c r="B29" s="601"/>
      <c r="C29" s="601"/>
      <c r="D29" s="601"/>
      <c r="E29" s="601"/>
      <c r="F29" s="601"/>
      <c r="G29" s="601"/>
      <c r="H29" s="601"/>
    </row>
    <row r="30" spans="1:8" x14ac:dyDescent="0.35">
      <c r="A30" s="1" t="s">
        <v>759</v>
      </c>
      <c r="B30" s="601"/>
      <c r="C30" s="601"/>
      <c r="D30" s="601"/>
      <c r="E30" s="601"/>
      <c r="F30" s="601"/>
      <c r="G30" s="601"/>
      <c r="H30" s="601"/>
    </row>
    <row r="31" spans="1:8" x14ac:dyDescent="0.35">
      <c r="A31" s="1" t="s">
        <v>760</v>
      </c>
      <c r="B31" s="601"/>
      <c r="C31" s="601"/>
      <c r="D31" s="601"/>
      <c r="E31" s="601"/>
      <c r="F31" s="601"/>
      <c r="G31" s="601"/>
      <c r="H31" s="601"/>
    </row>
    <row r="32" spans="1:8" x14ac:dyDescent="0.35">
      <c r="B32" s="601"/>
      <c r="C32" s="601"/>
      <c r="D32" s="601"/>
      <c r="E32" s="601"/>
      <c r="F32" s="601"/>
      <c r="G32" s="601"/>
      <c r="H32" s="601"/>
    </row>
    <row r="33" spans="1:8" x14ac:dyDescent="0.35">
      <c r="B33" s="601"/>
      <c r="C33" s="601"/>
      <c r="D33" s="601"/>
      <c r="E33" s="601"/>
      <c r="F33" s="601"/>
      <c r="G33" s="601"/>
      <c r="H33" s="601"/>
    </row>
    <row r="34" spans="1:8" x14ac:dyDescent="0.35">
      <c r="A34" s="1" t="s">
        <v>761</v>
      </c>
      <c r="B34" s="601"/>
      <c r="C34" s="601"/>
      <c r="D34" s="601"/>
      <c r="E34" s="601"/>
      <c r="F34" s="601"/>
      <c r="G34" s="601"/>
      <c r="H34" s="601"/>
    </row>
    <row r="35" spans="1:8" x14ac:dyDescent="0.35">
      <c r="A35" s="1" t="s">
        <v>762</v>
      </c>
      <c r="B35" s="601"/>
      <c r="C35" s="601"/>
      <c r="D35" s="601"/>
      <c r="E35" s="601"/>
      <c r="F35" s="601"/>
      <c r="G35" s="601"/>
      <c r="H35" s="601"/>
    </row>
    <row r="36" spans="1:8" x14ac:dyDescent="0.35">
      <c r="A36" s="1" t="s">
        <v>763</v>
      </c>
      <c r="B36" s="601"/>
      <c r="C36" s="601"/>
      <c r="D36" s="601"/>
      <c r="E36" s="601"/>
      <c r="F36" s="601"/>
      <c r="G36" s="601"/>
      <c r="H36" s="601"/>
    </row>
    <row r="37" spans="1:8" x14ac:dyDescent="0.35">
      <c r="B37" s="601"/>
      <c r="C37" s="601"/>
      <c r="D37" s="601"/>
      <c r="E37" s="601"/>
      <c r="F37" s="601"/>
      <c r="G37" s="601"/>
      <c r="H37" s="601"/>
    </row>
    <row r="38" spans="1:8" x14ac:dyDescent="0.35">
      <c r="A38" s="1" t="s">
        <v>764</v>
      </c>
      <c r="B38" s="601"/>
      <c r="C38" s="601"/>
      <c r="D38" s="601"/>
      <c r="E38" s="601"/>
      <c r="F38" s="601"/>
      <c r="G38" s="601"/>
      <c r="H38" s="601"/>
    </row>
    <row r="39" spans="1:8" x14ac:dyDescent="0.35">
      <c r="A39" s="1" t="s">
        <v>765</v>
      </c>
      <c r="B39" s="601"/>
      <c r="C39" s="601"/>
      <c r="D39" s="601"/>
      <c r="E39" s="601"/>
      <c r="F39" s="601"/>
      <c r="G39" s="601"/>
      <c r="H39" s="601"/>
    </row>
    <row r="40" spans="1:8" x14ac:dyDescent="0.35">
      <c r="A40" s="1" t="s">
        <v>766</v>
      </c>
      <c r="B40" s="601"/>
      <c r="C40" s="601"/>
      <c r="D40" s="601"/>
      <c r="E40" s="601"/>
      <c r="F40" s="601"/>
      <c r="G40" s="601"/>
      <c r="H40" s="601"/>
    </row>
    <row r="41" spans="1:8" x14ac:dyDescent="0.35">
      <c r="B41" s="601"/>
      <c r="C41" s="601"/>
      <c r="D41" s="601"/>
      <c r="E41" s="601"/>
      <c r="F41" s="601"/>
      <c r="G41" s="601"/>
      <c r="H41" s="601"/>
    </row>
    <row r="42" spans="1:8" ht="15" x14ac:dyDescent="0.3">
      <c r="A42" s="560" t="s">
        <v>767</v>
      </c>
      <c r="B42" s="248"/>
      <c r="C42" s="248"/>
      <c r="D42" s="248"/>
      <c r="E42" s="248"/>
      <c r="F42" s="248"/>
      <c r="G42" s="248"/>
      <c r="H42" s="601"/>
    </row>
    <row r="43" spans="1:8" x14ac:dyDescent="0.35">
      <c r="B43" s="601"/>
      <c r="C43" s="601"/>
      <c r="D43" s="601"/>
      <c r="E43" s="601"/>
      <c r="F43" s="601"/>
      <c r="G43" s="601"/>
      <c r="H43" s="601"/>
    </row>
    <row r="44" spans="1:8" x14ac:dyDescent="0.35">
      <c r="A44" s="1" t="s">
        <v>768</v>
      </c>
      <c r="B44" s="601"/>
      <c r="C44" s="601"/>
      <c r="D44" s="601"/>
      <c r="E44" s="601"/>
      <c r="F44" s="601"/>
      <c r="G44" s="601"/>
      <c r="H44" s="601"/>
    </row>
    <row r="45" spans="1:8" x14ac:dyDescent="0.35">
      <c r="A45" s="1" t="s">
        <v>769</v>
      </c>
      <c r="B45" s="601"/>
      <c r="C45" s="601"/>
      <c r="D45" s="601"/>
      <c r="E45" s="601"/>
      <c r="F45" s="601"/>
      <c r="G45" s="601"/>
      <c r="H45" s="601"/>
    </row>
    <row r="46" spans="1:8" x14ac:dyDescent="0.35">
      <c r="B46" s="601"/>
      <c r="C46" s="601"/>
      <c r="D46" s="601"/>
      <c r="E46" s="601"/>
      <c r="F46" s="601"/>
      <c r="G46" s="601"/>
      <c r="H46" s="601"/>
    </row>
    <row r="47" spans="1:8" x14ac:dyDescent="0.35">
      <c r="A47" s="1" t="s">
        <v>770</v>
      </c>
      <c r="B47" s="601"/>
      <c r="C47" s="601"/>
      <c r="D47" s="601"/>
      <c r="E47" s="601"/>
      <c r="F47" s="601"/>
      <c r="G47" s="601"/>
      <c r="H47" s="601"/>
    </row>
    <row r="48" spans="1:8" x14ac:dyDescent="0.35">
      <c r="A48" s="1" t="s">
        <v>771</v>
      </c>
      <c r="B48" s="601"/>
      <c r="C48" s="601"/>
      <c r="D48" s="601"/>
      <c r="E48" s="601"/>
      <c r="F48" s="601"/>
      <c r="G48" s="601"/>
      <c r="H48" s="601"/>
    </row>
    <row r="49" spans="1:8" x14ac:dyDescent="0.35">
      <c r="A49" s="1" t="s">
        <v>772</v>
      </c>
      <c r="B49" s="601"/>
      <c r="C49" s="601"/>
      <c r="D49" s="601"/>
      <c r="E49" s="601"/>
      <c r="F49" s="601"/>
      <c r="G49" s="601"/>
      <c r="H49" s="601"/>
    </row>
    <row r="50" spans="1:8" x14ac:dyDescent="0.35">
      <c r="A50" s="1" t="s">
        <v>773</v>
      </c>
      <c r="B50" s="601"/>
      <c r="C50" s="601"/>
      <c r="D50" s="601"/>
      <c r="E50" s="601"/>
      <c r="F50" s="601"/>
      <c r="G50" s="601"/>
      <c r="H50" s="601"/>
    </row>
    <row r="51" spans="1:8" x14ac:dyDescent="0.35">
      <c r="B51" s="601"/>
      <c r="C51" s="601"/>
      <c r="D51" s="601"/>
      <c r="E51" s="601"/>
      <c r="F51" s="601"/>
      <c r="G51" s="601"/>
      <c r="H51" s="601"/>
    </row>
    <row r="52" spans="1:8" x14ac:dyDescent="0.35">
      <c r="B52" s="601"/>
      <c r="C52" s="601"/>
      <c r="D52" s="601"/>
      <c r="E52" s="601"/>
      <c r="F52" s="601"/>
      <c r="G52" s="601"/>
      <c r="H52" s="601"/>
    </row>
    <row r="53" spans="1:8" x14ac:dyDescent="0.35">
      <c r="A53" s="1" t="s">
        <v>774</v>
      </c>
      <c r="B53" s="601"/>
      <c r="C53" s="601"/>
      <c r="D53" s="601"/>
      <c r="E53" s="601"/>
      <c r="F53" s="601"/>
      <c r="G53" s="601"/>
      <c r="H53" s="601"/>
    </row>
    <row r="54" spans="1:8" x14ac:dyDescent="0.35">
      <c r="A54" s="1" t="s">
        <v>775</v>
      </c>
      <c r="B54" s="601"/>
      <c r="C54" s="601"/>
      <c r="D54" s="601"/>
      <c r="E54" s="601"/>
      <c r="F54" s="601"/>
      <c r="G54" s="601"/>
      <c r="H54" s="601"/>
    </row>
    <row r="55" spans="1:8" x14ac:dyDescent="0.35">
      <c r="A55" s="1" t="s">
        <v>776</v>
      </c>
      <c r="B55" s="601"/>
      <c r="C55" s="601"/>
      <c r="D55" s="601"/>
      <c r="E55" s="601"/>
      <c r="F55" s="601"/>
      <c r="G55" s="601"/>
      <c r="H55" s="601"/>
    </row>
    <row r="56" spans="1:8" x14ac:dyDescent="0.35">
      <c r="A56" s="1" t="s">
        <v>777</v>
      </c>
      <c r="B56" s="601"/>
      <c r="C56" s="601"/>
      <c r="D56" s="601"/>
      <c r="E56" s="601"/>
      <c r="F56" s="601"/>
      <c r="G56" s="601"/>
      <c r="H56" s="601"/>
    </row>
    <row r="57" spans="1:8" x14ac:dyDescent="0.35">
      <c r="A57" s="1" t="s">
        <v>300</v>
      </c>
      <c r="B57" s="601"/>
      <c r="C57" s="601"/>
      <c r="D57" s="601"/>
      <c r="E57" s="601"/>
      <c r="F57" s="601"/>
      <c r="G57" s="601"/>
      <c r="H57" s="601"/>
    </row>
    <row r="58" spans="1:8" x14ac:dyDescent="0.35">
      <c r="B58" s="601"/>
      <c r="C58" s="601"/>
      <c r="D58" s="601"/>
      <c r="E58" s="601"/>
      <c r="F58" s="601"/>
      <c r="G58" s="601"/>
      <c r="H58" s="601"/>
    </row>
    <row r="59" spans="1:8" x14ac:dyDescent="0.35">
      <c r="A59" s="1" t="s">
        <v>778</v>
      </c>
      <c r="B59" s="601"/>
      <c r="C59" s="601"/>
      <c r="D59" s="601"/>
      <c r="E59" s="601"/>
      <c r="F59" s="601"/>
      <c r="G59" s="601"/>
      <c r="H59" s="601"/>
    </row>
    <row r="60" spans="1:8" x14ac:dyDescent="0.35">
      <c r="A60" s="1" t="s">
        <v>779</v>
      </c>
      <c r="B60" s="601"/>
      <c r="C60" s="601"/>
      <c r="D60" s="601"/>
      <c r="E60" s="601"/>
      <c r="F60" s="601"/>
      <c r="G60" s="601"/>
      <c r="H60" s="601"/>
    </row>
    <row r="61" spans="1:8" x14ac:dyDescent="0.35">
      <c r="B61" s="601"/>
      <c r="C61" s="601"/>
      <c r="D61" s="601"/>
      <c r="E61" s="601"/>
      <c r="F61" s="601"/>
      <c r="G61" s="601"/>
      <c r="H61" s="601"/>
    </row>
    <row r="62" spans="1:8" x14ac:dyDescent="0.35">
      <c r="A62" s="1" t="s">
        <v>291</v>
      </c>
    </row>
    <row r="63" spans="1:8" ht="15" x14ac:dyDescent="0.3">
      <c r="A63" s="560"/>
    </row>
    <row r="90" spans="1:1" ht="15" x14ac:dyDescent="0.3">
      <c r="A90" s="560"/>
    </row>
    <row r="91" spans="1:1" ht="15" x14ac:dyDescent="0.3">
      <c r="A91" s="560"/>
    </row>
    <row r="92" spans="1:1" ht="15" x14ac:dyDescent="0.3">
      <c r="A92" s="560"/>
    </row>
  </sheetData>
  <sheetProtection sheet="1"/>
  <mergeCells count="1">
    <mergeCell ref="A1:A2"/>
  </mergeCells>
  <pageMargins left="0.7" right="0.7" top="0.75" bottom="0.75" header="0.3" footer="0.3"/>
  <pageSetup orientation="portrait" r:id="rId1"/>
  <headerFooter>
    <oddFooter>&amp;Lrevised 10/02/09</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D69B-90F2-474F-B019-0EC885B78B7B}">
  <sheetPr codeName="Sheet47">
    <tabColor rgb="FFFF0000"/>
  </sheetPr>
  <dimension ref="A1:L55"/>
  <sheetViews>
    <sheetView topLeftCell="A19" workbookViewId="0">
      <selection sqref="A1:A2"/>
    </sheetView>
  </sheetViews>
  <sheetFormatPr defaultRowHeight="15.5" x14ac:dyDescent="0.35"/>
  <cols>
    <col min="1" max="1" width="66.75" style="1" customWidth="1"/>
  </cols>
  <sheetData>
    <row r="1" spans="1:12" ht="15.75" customHeight="1" x14ac:dyDescent="0.25">
      <c r="A1" s="836" t="s">
        <v>647</v>
      </c>
    </row>
    <row r="2" spans="1:12" ht="15.75" customHeight="1" x14ac:dyDescent="0.25">
      <c r="A2" s="836"/>
    </row>
    <row r="3" spans="1:12" ht="15" x14ac:dyDescent="0.3">
      <c r="A3" s="558" t="s">
        <v>297</v>
      </c>
      <c r="B3" s="600"/>
      <c r="C3" s="600"/>
      <c r="D3" s="600"/>
      <c r="E3" s="600"/>
      <c r="F3" s="600"/>
      <c r="G3" s="600"/>
      <c r="H3" s="600"/>
      <c r="I3" s="600"/>
      <c r="J3" s="600"/>
      <c r="K3" s="600"/>
      <c r="L3" s="600"/>
    </row>
    <row r="4" spans="1:12" ht="15" x14ac:dyDescent="0.3">
      <c r="A4" s="558"/>
      <c r="B4" s="600"/>
      <c r="C4" s="600"/>
      <c r="D4" s="600"/>
      <c r="E4" s="600"/>
      <c r="F4" s="600"/>
      <c r="G4" s="600"/>
      <c r="H4" s="600"/>
      <c r="I4" s="600"/>
      <c r="J4" s="600"/>
      <c r="K4" s="600"/>
      <c r="L4" s="600"/>
    </row>
    <row r="5" spans="1:12" x14ac:dyDescent="0.35">
      <c r="I5" s="600"/>
      <c r="J5" s="600"/>
      <c r="K5" s="600"/>
      <c r="L5" s="600"/>
    </row>
    <row r="6" spans="1:12" x14ac:dyDescent="0.35">
      <c r="A6" s="1" t="str">
        <f>CONCATENATE("Welcome.  You have been directed to this tab because your estimated ",inputPrYr!C6-1," total expenditures")</f>
        <v>Welcome.  You have been directed to this tab because your estimated 2025 total expenditures</v>
      </c>
      <c r="I6" s="600"/>
      <c r="J6" s="600"/>
      <c r="K6" s="600"/>
      <c r="L6" s="600"/>
    </row>
    <row r="7" spans="1:12" x14ac:dyDescent="0.35">
      <c r="A7" s="559" t="str">
        <f>CONCATENATE("exceed your ",inputPrYr!C6-1," budget authority.")</f>
        <v>exceed your 2025 budget authority.</v>
      </c>
      <c r="I7" s="600"/>
      <c r="J7" s="600"/>
      <c r="K7" s="600"/>
      <c r="L7" s="600"/>
    </row>
    <row r="8" spans="1:12" x14ac:dyDescent="0.35">
      <c r="I8" s="600"/>
      <c r="J8" s="600"/>
      <c r="K8" s="600"/>
      <c r="L8" s="600"/>
    </row>
    <row r="9" spans="1:12" x14ac:dyDescent="0.35">
      <c r="A9" s="1" t="s">
        <v>780</v>
      </c>
      <c r="I9" s="600"/>
      <c r="J9" s="600"/>
      <c r="K9" s="600"/>
      <c r="L9" s="600"/>
    </row>
    <row r="10" spans="1:12" x14ac:dyDescent="0.35">
      <c r="A10" s="1" t="s">
        <v>781</v>
      </c>
      <c r="I10" s="600"/>
      <c r="J10" s="600"/>
      <c r="K10" s="600"/>
      <c r="L10" s="600"/>
    </row>
    <row r="11" spans="1:12" x14ac:dyDescent="0.35">
      <c r="A11" s="1" t="s">
        <v>782</v>
      </c>
      <c r="I11" s="600"/>
      <c r="J11" s="600"/>
      <c r="K11" s="600"/>
      <c r="L11" s="600"/>
    </row>
    <row r="12" spans="1:12" ht="15" x14ac:dyDescent="0.3">
      <c r="A12" s="558"/>
      <c r="B12" s="600"/>
      <c r="C12" s="600"/>
      <c r="D12" s="600"/>
      <c r="E12" s="600"/>
      <c r="F12" s="600"/>
      <c r="G12" s="600"/>
      <c r="H12" s="600"/>
      <c r="I12" s="600"/>
      <c r="J12" s="600"/>
      <c r="K12" s="600"/>
      <c r="L12" s="600"/>
    </row>
    <row r="13" spans="1:12" ht="15" x14ac:dyDescent="0.3">
      <c r="A13" s="560" t="s">
        <v>783</v>
      </c>
    </row>
    <row r="14" spans="1:12" x14ac:dyDescent="0.35">
      <c r="B14" s="601"/>
      <c r="C14" s="601"/>
      <c r="D14" s="601"/>
      <c r="E14" s="601"/>
      <c r="F14" s="601"/>
      <c r="G14" s="601"/>
    </row>
    <row r="15" spans="1:12" x14ac:dyDescent="0.35">
      <c r="A15" s="1" t="str">
        <f>CONCATENATE("Naturally, our preference would be that you consider your ",inputPrYr!C6-1," numbers to see what steps might be")</f>
        <v>Naturally, our preference would be that you consider your 2025 numbers to see what steps might be</v>
      </c>
      <c r="B15" s="601"/>
      <c r="C15" s="601"/>
      <c r="D15" s="601"/>
      <c r="E15" s="601"/>
      <c r="F15" s="601"/>
      <c r="G15" s="601"/>
    </row>
    <row r="16" spans="1:12" ht="17.25" customHeight="1" x14ac:dyDescent="0.35">
      <c r="A16" s="1" t="s">
        <v>784</v>
      </c>
      <c r="B16" s="601"/>
      <c r="C16" s="601"/>
      <c r="D16" s="601"/>
      <c r="E16" s="601"/>
      <c r="F16" s="601"/>
      <c r="G16" s="601"/>
    </row>
    <row r="17" spans="1:7" ht="17.25" customHeight="1" x14ac:dyDescent="0.35">
      <c r="A17" s="1" t="s">
        <v>785</v>
      </c>
      <c r="B17" s="601"/>
      <c r="C17" s="601"/>
      <c r="D17" s="601"/>
      <c r="E17" s="601"/>
      <c r="F17" s="601"/>
      <c r="G17" s="601"/>
    </row>
    <row r="19" spans="1:7" ht="15" x14ac:dyDescent="0.3">
      <c r="A19" s="560" t="s">
        <v>298</v>
      </c>
    </row>
    <row r="20" spans="1:7" ht="15" x14ac:dyDescent="0.3">
      <c r="A20" s="560"/>
    </row>
    <row r="21" spans="1:7" x14ac:dyDescent="0.35">
      <c r="A21" s="1" t="s">
        <v>786</v>
      </c>
    </row>
    <row r="22" spans="1:7" x14ac:dyDescent="0.35">
      <c r="A22" s="1" t="s">
        <v>787</v>
      </c>
      <c r="B22" s="601"/>
      <c r="C22" s="601"/>
      <c r="D22" s="601"/>
      <c r="E22" s="601"/>
      <c r="F22" s="601"/>
    </row>
    <row r="23" spans="1:7" x14ac:dyDescent="0.35">
      <c r="B23" s="601"/>
      <c r="C23" s="601"/>
      <c r="D23" s="601"/>
      <c r="E23" s="601"/>
      <c r="F23" s="601"/>
    </row>
    <row r="24" spans="1:7" ht="15" x14ac:dyDescent="0.3">
      <c r="A24" s="560" t="s">
        <v>788</v>
      </c>
      <c r="B24" s="248"/>
      <c r="C24" s="248"/>
      <c r="D24" s="248"/>
      <c r="E24" s="248"/>
      <c r="F24" s="248"/>
      <c r="G24" s="248"/>
    </row>
    <row r="25" spans="1:7" x14ac:dyDescent="0.35">
      <c r="B25" s="601"/>
      <c r="C25" s="601"/>
      <c r="D25" s="601"/>
      <c r="E25" s="601"/>
      <c r="F25" s="601"/>
    </row>
    <row r="26" spans="1:7" x14ac:dyDescent="0.35">
      <c r="A26" s="602" t="str">
        <f>CONCATENATE("Well, let's look to see if any of your ",inputPrYr!C6-1," expenditures can be reduced or eliminated.  For example,")</f>
        <v>Well, let's look to see if any of your 2025 expenditures can be reduced or eliminated.  For example,</v>
      </c>
      <c r="B26" s="601"/>
      <c r="C26" s="601"/>
      <c r="D26" s="601"/>
      <c r="E26" s="601"/>
      <c r="F26" s="601"/>
    </row>
    <row r="27" spans="1:7" x14ac:dyDescent="0.35">
      <c r="A27" s="602" t="s">
        <v>789</v>
      </c>
      <c r="B27" s="601"/>
      <c r="C27" s="601"/>
      <c r="D27" s="601"/>
      <c r="E27" s="601"/>
      <c r="F27" s="601"/>
    </row>
    <row r="28" spans="1:7" x14ac:dyDescent="0.35">
      <c r="A28" s="602" t="s">
        <v>790</v>
      </c>
      <c r="B28" s="601"/>
      <c r="C28" s="601"/>
      <c r="D28" s="601"/>
      <c r="E28" s="601"/>
      <c r="F28" s="601"/>
    </row>
    <row r="29" spans="1:7" x14ac:dyDescent="0.35">
      <c r="A29" s="602"/>
      <c r="B29" s="601"/>
      <c r="C29" s="601"/>
      <c r="D29" s="601"/>
      <c r="E29" s="601"/>
      <c r="F29" s="601"/>
    </row>
    <row r="30" spans="1:7" x14ac:dyDescent="0.35">
      <c r="A30" s="602" t="str">
        <f>CONCATENATE("Additionally, do your ",inputPrYr!C6-1," receipts contain a reimbursement (e.g. FEMA)?  If so, instead of showing")</f>
        <v>Additionally, do your 2025 receipts contain a reimbursement (e.g. FEMA)?  If so, instead of showing</v>
      </c>
      <c r="B30" s="601"/>
      <c r="C30" s="601"/>
      <c r="D30" s="601"/>
      <c r="E30" s="601"/>
      <c r="F30" s="601"/>
    </row>
    <row r="31" spans="1:7" x14ac:dyDescent="0.35">
      <c r="A31" s="602" t="s">
        <v>791</v>
      </c>
      <c r="B31" s="601"/>
      <c r="C31" s="601"/>
      <c r="D31" s="601"/>
      <c r="E31" s="601"/>
      <c r="F31" s="601"/>
    </row>
    <row r="32" spans="1:7" x14ac:dyDescent="0.35">
      <c r="A32" s="602"/>
      <c r="B32" s="601"/>
      <c r="C32" s="601"/>
      <c r="D32" s="601"/>
      <c r="E32" s="601"/>
      <c r="F32" s="601"/>
    </row>
    <row r="33" spans="1:6" x14ac:dyDescent="0.35">
      <c r="A33" s="602" t="s">
        <v>792</v>
      </c>
      <c r="B33" s="601"/>
      <c r="C33" s="601"/>
      <c r="D33" s="601"/>
      <c r="E33" s="601"/>
      <c r="F33" s="601"/>
    </row>
    <row r="34" spans="1:6" x14ac:dyDescent="0.35">
      <c r="A34" s="602" t="s">
        <v>793</v>
      </c>
      <c r="B34" s="601"/>
      <c r="C34" s="601"/>
      <c r="D34" s="601"/>
      <c r="E34" s="601"/>
      <c r="F34" s="601"/>
    </row>
    <row r="35" spans="1:6" x14ac:dyDescent="0.35">
      <c r="A35" s="602" t="s">
        <v>794</v>
      </c>
      <c r="B35" s="601"/>
      <c r="C35" s="601"/>
      <c r="D35" s="601"/>
      <c r="E35" s="601"/>
      <c r="F35" s="601"/>
    </row>
    <row r="36" spans="1:6" x14ac:dyDescent="0.35">
      <c r="A36" s="602" t="s">
        <v>795</v>
      </c>
      <c r="B36" s="601"/>
      <c r="C36" s="601"/>
      <c r="D36" s="601"/>
      <c r="E36" s="601"/>
      <c r="F36" s="601"/>
    </row>
    <row r="37" spans="1:6" x14ac:dyDescent="0.35">
      <c r="A37" s="602" t="s">
        <v>289</v>
      </c>
      <c r="B37" s="601"/>
      <c r="C37" s="601"/>
      <c r="D37" s="601"/>
      <c r="E37" s="601"/>
      <c r="F37" s="601"/>
    </row>
    <row r="38" spans="1:6" x14ac:dyDescent="0.35">
      <c r="A38" s="602"/>
      <c r="B38" s="601"/>
      <c r="C38" s="601"/>
      <c r="D38" s="601"/>
      <c r="E38" s="601"/>
      <c r="F38" s="601"/>
    </row>
    <row r="39" spans="1:6" x14ac:dyDescent="0.35">
      <c r="A39" s="602" t="s">
        <v>734</v>
      </c>
      <c r="B39" s="601"/>
      <c r="C39" s="601"/>
      <c r="D39" s="601"/>
      <c r="E39" s="601"/>
      <c r="F39" s="601"/>
    </row>
    <row r="40" spans="1:6" x14ac:dyDescent="0.35">
      <c r="A40" s="602" t="s">
        <v>735</v>
      </c>
      <c r="B40" s="601"/>
      <c r="C40" s="601"/>
      <c r="D40" s="601"/>
      <c r="E40" s="601"/>
      <c r="F40" s="601"/>
    </row>
    <row r="41" spans="1:6" x14ac:dyDescent="0.35">
      <c r="A41" s="602"/>
      <c r="B41" s="601"/>
      <c r="C41" s="601"/>
      <c r="D41" s="601"/>
      <c r="E41" s="601"/>
      <c r="F41" s="601"/>
    </row>
    <row r="42" spans="1:6" x14ac:dyDescent="0.35">
      <c r="A42" s="602" t="s">
        <v>796</v>
      </c>
      <c r="B42" s="601"/>
      <c r="C42" s="601"/>
      <c r="D42" s="601"/>
      <c r="E42" s="601"/>
      <c r="F42" s="601"/>
    </row>
    <row r="43" spans="1:6" x14ac:dyDescent="0.35">
      <c r="A43" s="602" t="s">
        <v>797</v>
      </c>
      <c r="B43" s="601"/>
      <c r="C43" s="601"/>
      <c r="D43" s="601"/>
      <c r="E43" s="601"/>
      <c r="F43" s="601"/>
    </row>
    <row r="44" spans="1:6" x14ac:dyDescent="0.35">
      <c r="A44" s="602" t="s">
        <v>798</v>
      </c>
      <c r="B44" s="601"/>
      <c r="C44" s="601"/>
      <c r="D44" s="601"/>
      <c r="E44" s="601"/>
      <c r="F44" s="601"/>
    </row>
    <row r="45" spans="1:6" x14ac:dyDescent="0.35">
      <c r="A45" s="602"/>
      <c r="B45" s="601"/>
      <c r="C45" s="601"/>
      <c r="D45" s="601"/>
      <c r="E45" s="601"/>
      <c r="F45" s="601"/>
    </row>
    <row r="46" spans="1:6" x14ac:dyDescent="0.35">
      <c r="A46" s="602" t="s">
        <v>799</v>
      </c>
      <c r="B46" s="601"/>
      <c r="C46" s="601"/>
      <c r="D46" s="601"/>
      <c r="E46" s="601"/>
      <c r="F46" s="601"/>
    </row>
    <row r="47" spans="1:6" x14ac:dyDescent="0.35">
      <c r="A47" s="602" t="s">
        <v>800</v>
      </c>
      <c r="B47" s="601"/>
      <c r="C47" s="601"/>
      <c r="D47" s="601"/>
      <c r="E47" s="601"/>
      <c r="F47" s="601"/>
    </row>
    <row r="48" spans="1:6" x14ac:dyDescent="0.35">
      <c r="A48" s="602" t="s">
        <v>801</v>
      </c>
    </row>
    <row r="50" spans="1:1" x14ac:dyDescent="0.35">
      <c r="A50" s="1" t="s">
        <v>802</v>
      </c>
    </row>
    <row r="51" spans="1:1" x14ac:dyDescent="0.35">
      <c r="A51" s="1" t="s">
        <v>803</v>
      </c>
    </row>
    <row r="52" spans="1:1" x14ac:dyDescent="0.35">
      <c r="A52" s="1" t="s">
        <v>804</v>
      </c>
    </row>
    <row r="53" spans="1:1" x14ac:dyDescent="0.35">
      <c r="A53" s="1" t="s">
        <v>805</v>
      </c>
    </row>
    <row r="55" spans="1:1" x14ac:dyDescent="0.35">
      <c r="A55" s="1" t="s">
        <v>291</v>
      </c>
    </row>
  </sheetData>
  <sheetProtection sheet="1" objects="1" scenarios="1"/>
  <mergeCells count="1">
    <mergeCell ref="A1:A2"/>
  </mergeCells>
  <pageMargins left="0.7" right="0.7" top="0.75" bottom="0.75" header="0.3" footer="0.3"/>
  <pageSetup orientation="portrait" r:id="rId1"/>
  <headerFooter>
    <oddFooter>&amp;Lrevised 10/2/09</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AE400-CAFD-45E8-B4C4-08E4B6B98B95}">
  <sheetPr codeName="Sheet48">
    <tabColor rgb="FFFF0000"/>
  </sheetPr>
  <dimension ref="A1:G59"/>
  <sheetViews>
    <sheetView workbookViewId="0">
      <selection sqref="A1:A2"/>
    </sheetView>
  </sheetViews>
  <sheetFormatPr defaultRowHeight="15.5" x14ac:dyDescent="0.35"/>
  <cols>
    <col min="1" max="1" width="66.75" style="1" customWidth="1"/>
  </cols>
  <sheetData>
    <row r="1" spans="1:7" ht="15.75" customHeight="1" x14ac:dyDescent="0.25">
      <c r="A1" s="836" t="s">
        <v>648</v>
      </c>
    </row>
    <row r="2" spans="1:7" ht="15.75" customHeight="1" x14ac:dyDescent="0.25">
      <c r="A2" s="836"/>
    </row>
    <row r="3" spans="1:7" ht="15" x14ac:dyDescent="0.3">
      <c r="A3" s="558" t="s">
        <v>299</v>
      </c>
      <c r="B3" s="600"/>
      <c r="C3" s="600"/>
      <c r="D3" s="600"/>
      <c r="E3" s="600"/>
      <c r="F3" s="600"/>
      <c r="G3" s="600"/>
    </row>
    <row r="4" spans="1:7" ht="15" x14ac:dyDescent="0.3">
      <c r="A4" s="558"/>
      <c r="B4" s="600"/>
      <c r="C4" s="600"/>
      <c r="D4" s="600"/>
      <c r="E4" s="600"/>
      <c r="F4" s="600"/>
      <c r="G4" s="600"/>
    </row>
    <row r="5" spans="1:7" x14ac:dyDescent="0.35">
      <c r="A5" s="1" t="str">
        <f>CONCATENATE("Welcome.  You have been directed to this tab because your ",inputPrYr!C6," estimated expenditures show")</f>
        <v>Welcome.  You have been directed to this tab because your 2026 estimated expenditures show</v>
      </c>
    </row>
    <row r="6" spans="1:7" x14ac:dyDescent="0.35">
      <c r="A6" s="1" t="s">
        <v>806</v>
      </c>
    </row>
    <row r="8" spans="1:7" x14ac:dyDescent="0.35">
      <c r="A8" s="1" t="s">
        <v>751</v>
      </c>
    </row>
    <row r="9" spans="1:7" x14ac:dyDescent="0.35">
      <c r="A9" s="1" t="s">
        <v>295</v>
      </c>
    </row>
    <row r="10" spans="1:7" ht="15" x14ac:dyDescent="0.3">
      <c r="A10" s="558"/>
      <c r="B10" s="600"/>
      <c r="C10" s="600"/>
      <c r="D10" s="600"/>
      <c r="E10" s="600"/>
      <c r="F10" s="600"/>
      <c r="G10" s="600"/>
    </row>
    <row r="11" spans="1:7" ht="15" x14ac:dyDescent="0.3">
      <c r="A11" s="560" t="s">
        <v>301</v>
      </c>
    </row>
    <row r="13" spans="1:7" x14ac:dyDescent="0.35">
      <c r="A13" s="1" t="s">
        <v>807</v>
      </c>
    </row>
    <row r="14" spans="1:7" x14ac:dyDescent="0.35">
      <c r="A14" s="1" t="s">
        <v>302</v>
      </c>
    </row>
    <row r="16" spans="1:7" x14ac:dyDescent="0.35">
      <c r="A16" s="1" t="s">
        <v>808</v>
      </c>
    </row>
    <row r="17" spans="1:7" x14ac:dyDescent="0.35">
      <c r="A17" s="1" t="s">
        <v>809</v>
      </c>
    </row>
    <row r="19" spans="1:7" ht="15" x14ac:dyDescent="0.3">
      <c r="A19" s="560" t="s">
        <v>298</v>
      </c>
    </row>
    <row r="20" spans="1:7" ht="15" x14ac:dyDescent="0.3">
      <c r="A20" s="560"/>
    </row>
    <row r="21" spans="1:7" x14ac:dyDescent="0.35">
      <c r="A21" s="1" t="s">
        <v>810</v>
      </c>
    </row>
    <row r="22" spans="1:7" x14ac:dyDescent="0.35">
      <c r="A22" s="1" t="s">
        <v>811</v>
      </c>
      <c r="B22" s="601"/>
      <c r="C22" s="601"/>
      <c r="D22" s="601"/>
      <c r="E22" s="601"/>
      <c r="F22" s="601"/>
    </row>
    <row r="23" spans="1:7" x14ac:dyDescent="0.35">
      <c r="B23" s="601"/>
      <c r="C23" s="601"/>
      <c r="D23" s="601"/>
      <c r="E23" s="601"/>
      <c r="F23" s="601"/>
    </row>
    <row r="25" spans="1:7" ht="15" x14ac:dyDescent="0.3">
      <c r="A25" s="560" t="s">
        <v>788</v>
      </c>
      <c r="B25" s="248"/>
      <c r="C25" s="248"/>
      <c r="D25" s="248"/>
      <c r="E25" s="248"/>
      <c r="F25" s="248"/>
      <c r="G25" s="248"/>
    </row>
    <row r="26" spans="1:7" ht="15" x14ac:dyDescent="0.3">
      <c r="A26" s="560"/>
      <c r="B26" s="248"/>
      <c r="C26" s="248"/>
      <c r="D26" s="248"/>
      <c r="E26" s="248"/>
      <c r="F26" s="248"/>
      <c r="G26" s="248"/>
    </row>
    <row r="27" spans="1:7" x14ac:dyDescent="0.35">
      <c r="A27" s="1" t="s">
        <v>812</v>
      </c>
      <c r="B27" s="601"/>
      <c r="C27" s="601"/>
      <c r="D27" s="601"/>
      <c r="E27" s="601"/>
      <c r="F27" s="601"/>
      <c r="G27" s="601"/>
    </row>
    <row r="28" spans="1:7" x14ac:dyDescent="0.35">
      <c r="A28" s="1" t="s">
        <v>813</v>
      </c>
      <c r="B28" s="601"/>
      <c r="C28" s="601"/>
      <c r="D28" s="601"/>
      <c r="E28" s="601"/>
      <c r="F28" s="601"/>
      <c r="G28" s="601"/>
    </row>
    <row r="29" spans="1:7" x14ac:dyDescent="0.35">
      <c r="A29" s="1" t="s">
        <v>814</v>
      </c>
      <c r="B29" s="601"/>
      <c r="C29" s="601"/>
      <c r="D29" s="601"/>
      <c r="E29" s="601"/>
      <c r="F29" s="601"/>
      <c r="G29" s="601"/>
    </row>
    <row r="30" spans="1:7" ht="15" x14ac:dyDescent="0.3">
      <c r="A30" s="560"/>
      <c r="B30" s="248"/>
      <c r="C30" s="248"/>
      <c r="D30" s="248"/>
      <c r="E30" s="248"/>
      <c r="F30" s="248"/>
      <c r="G30" s="248"/>
    </row>
    <row r="31" spans="1:7" x14ac:dyDescent="0.35">
      <c r="A31" s="602" t="str">
        <f>CONCATENATE("So, let's look to see if any of your ",inputPrYr!C6-1," expenditures can be reduced or eliminated. For example,")</f>
        <v>So, let's look to see if any of your 2025 expenditures can be reduced or eliminated. For example,</v>
      </c>
      <c r="B31" s="601"/>
      <c r="C31" s="601"/>
      <c r="D31" s="601"/>
      <c r="E31" s="601"/>
      <c r="F31" s="601"/>
    </row>
    <row r="32" spans="1:7" x14ac:dyDescent="0.35">
      <c r="A32" s="602" t="s">
        <v>727</v>
      </c>
      <c r="B32" s="601"/>
      <c r="C32" s="601"/>
      <c r="D32" s="601"/>
      <c r="E32" s="601"/>
      <c r="F32" s="601"/>
    </row>
    <row r="33" spans="1:7" x14ac:dyDescent="0.35">
      <c r="A33" s="602" t="s">
        <v>728</v>
      </c>
      <c r="B33" s="601"/>
      <c r="C33" s="601"/>
      <c r="D33" s="601"/>
      <c r="E33" s="601"/>
      <c r="F33" s="601"/>
    </row>
    <row r="35" spans="1:7" x14ac:dyDescent="0.35">
      <c r="A35" s="602" t="str">
        <f>CONCATENATE("Additionally, do your ",inputPrYr!C6-1," receipts contain a reimbursement (e.g. FEMA)?  If so, instead of")</f>
        <v>Additionally, do your 2025 receipts contain a reimbursement (e.g. FEMA)?  If so, instead of</v>
      </c>
      <c r="B35" s="601"/>
      <c r="C35" s="601"/>
      <c r="D35" s="601"/>
      <c r="E35" s="601"/>
      <c r="F35" s="601"/>
    </row>
    <row r="36" spans="1:7" x14ac:dyDescent="0.35">
      <c r="A36" s="602" t="s">
        <v>815</v>
      </c>
      <c r="B36" s="601"/>
      <c r="C36" s="601"/>
      <c r="D36" s="601"/>
      <c r="E36" s="601"/>
      <c r="F36" s="601"/>
    </row>
    <row r="37" spans="1:7" x14ac:dyDescent="0.35">
      <c r="B37" s="601"/>
      <c r="C37" s="601"/>
      <c r="D37" s="601"/>
      <c r="E37" s="601"/>
      <c r="F37" s="601"/>
      <c r="G37" s="601"/>
    </row>
    <row r="38" spans="1:7" x14ac:dyDescent="0.35">
      <c r="A38" s="1" t="s">
        <v>816</v>
      </c>
      <c r="B38" s="601"/>
      <c r="C38" s="601"/>
      <c r="D38" s="601"/>
      <c r="E38" s="601"/>
      <c r="F38" s="601"/>
      <c r="G38" s="601"/>
    </row>
    <row r="39" spans="1:7" x14ac:dyDescent="0.35">
      <c r="A39" s="1" t="s">
        <v>817</v>
      </c>
      <c r="B39" s="601"/>
      <c r="C39" s="601"/>
      <c r="D39" s="601"/>
      <c r="E39" s="601"/>
      <c r="F39" s="601"/>
      <c r="G39" s="601"/>
    </row>
    <row r="40" spans="1:7" x14ac:dyDescent="0.35">
      <c r="A40" s="1" t="s">
        <v>818</v>
      </c>
      <c r="B40" s="601"/>
      <c r="C40" s="601"/>
      <c r="D40" s="601"/>
      <c r="E40" s="601"/>
      <c r="F40" s="601"/>
      <c r="G40" s="601"/>
    </row>
    <row r="41" spans="1:7" x14ac:dyDescent="0.35">
      <c r="B41" s="601"/>
      <c r="C41" s="601"/>
      <c r="D41" s="601"/>
      <c r="E41" s="601"/>
      <c r="F41" s="601"/>
      <c r="G41" s="601"/>
    </row>
    <row r="42" spans="1:7" x14ac:dyDescent="0.35">
      <c r="A42" s="602" t="s">
        <v>734</v>
      </c>
      <c r="B42" s="601"/>
      <c r="C42" s="601"/>
      <c r="D42" s="601"/>
      <c r="E42" s="601"/>
      <c r="F42" s="601"/>
    </row>
    <row r="43" spans="1:7" x14ac:dyDescent="0.35">
      <c r="A43" s="602" t="s">
        <v>735</v>
      </c>
      <c r="B43" s="601"/>
      <c r="C43" s="601"/>
      <c r="D43" s="601"/>
      <c r="E43" s="601"/>
      <c r="F43" s="601"/>
    </row>
    <row r="44" spans="1:7" x14ac:dyDescent="0.35">
      <c r="A44" s="602"/>
      <c r="B44" s="601"/>
      <c r="C44" s="601"/>
      <c r="D44" s="601"/>
      <c r="E44" s="601"/>
      <c r="F44" s="601"/>
    </row>
    <row r="45" spans="1:7" x14ac:dyDescent="0.35">
      <c r="A45" s="1" t="s">
        <v>819</v>
      </c>
      <c r="B45" s="601"/>
      <c r="C45" s="601"/>
      <c r="D45" s="601"/>
      <c r="E45" s="601"/>
      <c r="F45" s="601"/>
      <c r="G45" s="601"/>
    </row>
    <row r="46" spans="1:7" x14ac:dyDescent="0.35">
      <c r="A46" s="1" t="s">
        <v>820</v>
      </c>
      <c r="B46" s="601"/>
      <c r="C46" s="601"/>
      <c r="D46" s="601"/>
      <c r="E46" s="601"/>
      <c r="F46" s="601"/>
      <c r="G46" s="601"/>
    </row>
    <row r="47" spans="1:7" x14ac:dyDescent="0.35">
      <c r="A47" s="1" t="s">
        <v>821</v>
      </c>
      <c r="B47" s="601"/>
      <c r="C47" s="601"/>
      <c r="D47" s="601"/>
      <c r="E47" s="601"/>
      <c r="F47" s="601"/>
      <c r="G47" s="601"/>
    </row>
    <row r="49" spans="1:6" x14ac:dyDescent="0.35">
      <c r="A49" s="602" t="s">
        <v>796</v>
      </c>
      <c r="B49" s="601"/>
      <c r="C49" s="601"/>
      <c r="D49" s="601"/>
      <c r="E49" s="601"/>
      <c r="F49" s="601"/>
    </row>
    <row r="50" spans="1:6" x14ac:dyDescent="0.35">
      <c r="A50" s="602" t="s">
        <v>822</v>
      </c>
      <c r="B50" s="601"/>
      <c r="C50" s="601"/>
      <c r="D50" s="601"/>
      <c r="E50" s="601"/>
      <c r="F50" s="601"/>
    </row>
    <row r="51" spans="1:6" x14ac:dyDescent="0.35">
      <c r="A51" s="602" t="s">
        <v>823</v>
      </c>
      <c r="B51" s="601"/>
      <c r="C51" s="601"/>
      <c r="D51" s="601"/>
      <c r="E51" s="601"/>
      <c r="F51" s="601"/>
    </row>
    <row r="53" spans="1:6" x14ac:dyDescent="0.35">
      <c r="A53" s="1" t="s">
        <v>291</v>
      </c>
    </row>
    <row r="59" spans="1:6" ht="15" x14ac:dyDescent="0.3">
      <c r="A59" s="560"/>
    </row>
  </sheetData>
  <sheetProtection sheet="1" objects="1" scenarios="1"/>
  <mergeCells count="1">
    <mergeCell ref="A1:A2"/>
  </mergeCells>
  <pageMargins left="0.7" right="0.7" top="0.75" bottom="0.75" header="0.3" footer="0.3"/>
  <pageSetup orientation="portrait" r:id="rId1"/>
  <headerFooter>
    <oddFooter>&amp;Lrevised 10/2/09</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205D-DDB1-48AC-B378-79F1DEAF48E0}">
  <sheetPr codeName="Sheet49">
    <tabColor rgb="FFFF0000"/>
  </sheetPr>
  <dimension ref="A1:G39"/>
  <sheetViews>
    <sheetView workbookViewId="0">
      <selection sqref="A1:A2"/>
    </sheetView>
  </sheetViews>
  <sheetFormatPr defaultRowHeight="15.5" x14ac:dyDescent="0.35"/>
  <cols>
    <col min="1" max="1" width="66.75" style="1" customWidth="1"/>
  </cols>
  <sheetData>
    <row r="1" spans="1:7" ht="15.75" customHeight="1" x14ac:dyDescent="0.25">
      <c r="A1" s="836" t="s">
        <v>644</v>
      </c>
    </row>
    <row r="2" spans="1:7" ht="15.75" customHeight="1" x14ac:dyDescent="0.25">
      <c r="A2" s="836"/>
    </row>
    <row r="3" spans="1:7" ht="15" x14ac:dyDescent="0.3">
      <c r="A3" s="558" t="s">
        <v>824</v>
      </c>
      <c r="B3" s="600"/>
      <c r="C3" s="600"/>
      <c r="D3" s="600"/>
      <c r="E3" s="600"/>
      <c r="F3" s="600"/>
      <c r="G3" s="600"/>
    </row>
    <row r="4" spans="1:7" ht="15" x14ac:dyDescent="0.3">
      <c r="A4" s="558"/>
      <c r="B4" s="600"/>
      <c r="C4" s="600"/>
      <c r="D4" s="600"/>
      <c r="E4" s="600"/>
      <c r="F4" s="600"/>
      <c r="G4" s="600"/>
    </row>
    <row r="5" spans="1:7" ht="15" x14ac:dyDescent="0.3">
      <c r="A5" s="558"/>
      <c r="B5" s="600"/>
      <c r="C5" s="600"/>
      <c r="D5" s="600"/>
      <c r="E5" s="600"/>
      <c r="F5" s="600"/>
      <c r="G5" s="600"/>
    </row>
    <row r="6" spans="1:7" x14ac:dyDescent="0.35">
      <c r="A6" s="1" t="str">
        <f>CONCATENATE("Welcome. You have been directed to this tab because your estimated ",inputPrYr!C6," total expenditures")</f>
        <v>Welcome. You have been directed to this tab because your estimated 2026 total expenditures</v>
      </c>
    </row>
    <row r="7" spans="1:7" x14ac:dyDescent="0.35">
      <c r="A7" s="1" t="str">
        <f>CONCATENATE("your ",inputPrYr!C6," unemcumbered cash balance Dec 31.")</f>
        <v>your 2026 unemcumbered cash balance Dec 31.</v>
      </c>
    </row>
    <row r="9" spans="1:7" x14ac:dyDescent="0.35">
      <c r="A9" s="1" t="s">
        <v>825</v>
      </c>
    </row>
    <row r="10" spans="1:7" x14ac:dyDescent="0.35">
      <c r="A10" s="1" t="s">
        <v>826</v>
      </c>
    </row>
    <row r="12" spans="1:7" ht="15" x14ac:dyDescent="0.3">
      <c r="A12" s="560" t="s">
        <v>303</v>
      </c>
    </row>
    <row r="13" spans="1:7" ht="15" x14ac:dyDescent="0.3">
      <c r="A13" s="558"/>
      <c r="B13" s="600"/>
      <c r="C13" s="600"/>
      <c r="D13" s="600"/>
      <c r="E13" s="600"/>
      <c r="F13" s="600"/>
      <c r="G13" s="600"/>
    </row>
    <row r="14" spans="1:7" x14ac:dyDescent="0.35">
      <c r="A14" s="1" t="s">
        <v>827</v>
      </c>
    </row>
    <row r="15" spans="1:7" x14ac:dyDescent="0.35">
      <c r="A15" s="1" t="s">
        <v>828</v>
      </c>
    </row>
    <row r="17" spans="1:1" ht="15" x14ac:dyDescent="0.3">
      <c r="A17" s="560" t="s">
        <v>304</v>
      </c>
    </row>
    <row r="19" spans="1:1" x14ac:dyDescent="0.35">
      <c r="A19" s="1" t="s">
        <v>829</v>
      </c>
    </row>
    <row r="20" spans="1:1" x14ac:dyDescent="0.35">
      <c r="A20" s="1" t="s">
        <v>830</v>
      </c>
    </row>
    <row r="22" spans="1:1" ht="15" x14ac:dyDescent="0.3">
      <c r="A22" s="560" t="s">
        <v>305</v>
      </c>
    </row>
    <row r="24" spans="1:1" x14ac:dyDescent="0.35">
      <c r="A24" s="1" t="s">
        <v>831</v>
      </c>
    </row>
    <row r="25" spans="1:1" x14ac:dyDescent="0.35">
      <c r="A25" s="1" t="s">
        <v>832</v>
      </c>
    </row>
    <row r="26" spans="1:1" x14ac:dyDescent="0.35">
      <c r="A26" s="1" t="s">
        <v>833</v>
      </c>
    </row>
    <row r="28" spans="1:1" x14ac:dyDescent="0.35">
      <c r="A28" s="1" t="s">
        <v>834</v>
      </c>
    </row>
    <row r="29" spans="1:1" x14ac:dyDescent="0.35">
      <c r="A29" s="1" t="s">
        <v>835</v>
      </c>
    </row>
    <row r="30" spans="1:1" x14ac:dyDescent="0.35">
      <c r="A30" s="1" t="s">
        <v>836</v>
      </c>
    </row>
    <row r="32" spans="1:1" x14ac:dyDescent="0.35">
      <c r="A32" s="1" t="s">
        <v>837</v>
      </c>
    </row>
    <row r="33" spans="1:1" x14ac:dyDescent="0.35">
      <c r="A33" s="1" t="s">
        <v>838</v>
      </c>
    </row>
    <row r="34" spans="1:1" x14ac:dyDescent="0.35">
      <c r="A34" s="1" t="s">
        <v>839</v>
      </c>
    </row>
    <row r="36" spans="1:1" x14ac:dyDescent="0.35">
      <c r="A36" s="1" t="s">
        <v>840</v>
      </c>
    </row>
    <row r="37" spans="1:1" x14ac:dyDescent="0.35">
      <c r="A37" s="1" t="s">
        <v>841</v>
      </c>
    </row>
    <row r="39" spans="1:1" x14ac:dyDescent="0.35">
      <c r="A39" s="1" t="s">
        <v>291</v>
      </c>
    </row>
  </sheetData>
  <sheetProtection sheet="1" objects="1" scenarios="1"/>
  <mergeCells count="1">
    <mergeCell ref="A1:A2"/>
  </mergeCells>
  <pageMargins left="0.7" right="0.7" top="0.75" bottom="0.75" header="0.3" footer="0.3"/>
  <pageSetup orientation="portrait" r:id="rId1"/>
  <headerFooter>
    <oddFooter>&amp;Lrevised 10/2/09</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0ADB6-D8E1-41FC-9689-1B4F2BED141D}">
  <sheetPr codeName="Sheet50"/>
  <dimension ref="A1:N245"/>
  <sheetViews>
    <sheetView workbookViewId="0">
      <selection sqref="A1:A2"/>
    </sheetView>
  </sheetViews>
  <sheetFormatPr defaultRowHeight="12.5" x14ac:dyDescent="0.25"/>
  <cols>
    <col min="1" max="1" width="3.4140625" customWidth="1"/>
    <col min="2" max="2" width="8" customWidth="1"/>
  </cols>
  <sheetData>
    <row r="1" spans="1:5" ht="15.75" customHeight="1" x14ac:dyDescent="0.25"/>
    <row r="2" spans="1:5" ht="9.75" customHeight="1" x14ac:dyDescent="0.25"/>
    <row r="3" spans="1:5" ht="17.5" x14ac:dyDescent="0.35">
      <c r="A3" s="603" t="s">
        <v>560</v>
      </c>
    </row>
    <row r="4" spans="1:5" ht="9.75" customHeight="1" x14ac:dyDescent="0.8">
      <c r="B4" s="604"/>
    </row>
    <row r="5" spans="1:5" ht="15.5" x14ac:dyDescent="0.25">
      <c r="B5" s="605" t="s">
        <v>842</v>
      </c>
    </row>
    <row r="6" spans="1:5" ht="8.15" customHeight="1" x14ac:dyDescent="0.25">
      <c r="B6" s="605"/>
    </row>
    <row r="7" spans="1:5" ht="15.5" x14ac:dyDescent="0.25">
      <c r="B7" s="605" t="s">
        <v>843</v>
      </c>
    </row>
    <row r="8" spans="1:5" ht="15.5" x14ac:dyDescent="0.25">
      <c r="B8" s="606" t="s">
        <v>844</v>
      </c>
    </row>
    <row r="9" spans="1:5" ht="8.15" customHeight="1" x14ac:dyDescent="0.25">
      <c r="B9" s="606"/>
    </row>
    <row r="10" spans="1:5" ht="15.5" x14ac:dyDescent="0.25">
      <c r="C10" s="607" t="s">
        <v>845</v>
      </c>
      <c r="D10" s="605" t="s">
        <v>846</v>
      </c>
    </row>
    <row r="11" spans="1:5" ht="15.75" customHeight="1" x14ac:dyDescent="0.25">
      <c r="B11" s="605"/>
      <c r="D11" s="605" t="s">
        <v>847</v>
      </c>
    </row>
    <row r="12" spans="1:5" ht="15.75" customHeight="1" x14ac:dyDescent="0.25">
      <c r="B12" s="605"/>
      <c r="D12" s="605"/>
    </row>
    <row r="13" spans="1:5" ht="15.75" customHeight="1" x14ac:dyDescent="0.25">
      <c r="B13" s="605" t="s">
        <v>848</v>
      </c>
      <c r="E13" s="605" t="s">
        <v>849</v>
      </c>
    </row>
    <row r="14" spans="1:5" ht="15.75" customHeight="1" x14ac:dyDescent="0.25">
      <c r="B14" s="605"/>
      <c r="E14" s="605" t="s">
        <v>850</v>
      </c>
    </row>
    <row r="15" spans="1:5" ht="15.75" customHeight="1" x14ac:dyDescent="0.25">
      <c r="B15" s="605"/>
      <c r="E15" s="605" t="s">
        <v>851</v>
      </c>
    </row>
    <row r="16" spans="1:5" ht="15.75" customHeight="1" x14ac:dyDescent="0.25">
      <c r="B16" s="605"/>
      <c r="E16" s="605" t="s">
        <v>852</v>
      </c>
    </row>
    <row r="17" spans="2:5" ht="15.75" customHeight="1" x14ac:dyDescent="0.25">
      <c r="B17" s="605"/>
      <c r="E17" s="605"/>
    </row>
    <row r="18" spans="2:5" ht="15.75" customHeight="1" x14ac:dyDescent="0.25">
      <c r="B18" s="605"/>
      <c r="E18" s="605"/>
    </row>
    <row r="19" spans="2:5" ht="15.75" customHeight="1" x14ac:dyDescent="0.25">
      <c r="B19" s="605"/>
      <c r="E19" s="605"/>
    </row>
    <row r="20" spans="2:5" ht="15.75" customHeight="1" x14ac:dyDescent="0.25">
      <c r="B20" s="605"/>
      <c r="E20" s="605"/>
    </row>
    <row r="21" spans="2:5" ht="15.75" customHeight="1" x14ac:dyDescent="0.25">
      <c r="B21" s="605"/>
      <c r="E21" s="605"/>
    </row>
    <row r="22" spans="2:5" ht="15.75" customHeight="1" x14ac:dyDescent="0.25">
      <c r="B22" s="605"/>
      <c r="E22" s="605"/>
    </row>
    <row r="23" spans="2:5" ht="15.75" customHeight="1" x14ac:dyDescent="0.25">
      <c r="B23" s="605"/>
      <c r="E23" s="605"/>
    </row>
    <row r="24" spans="2:5" ht="15.75" customHeight="1" x14ac:dyDescent="0.25">
      <c r="B24" s="605"/>
      <c r="E24" s="605"/>
    </row>
    <row r="25" spans="2:5" ht="15.75" customHeight="1" x14ac:dyDescent="0.25">
      <c r="B25" s="605"/>
      <c r="E25" s="605"/>
    </row>
    <row r="26" spans="2:5" ht="15.75" customHeight="1" x14ac:dyDescent="0.25">
      <c r="B26" s="605"/>
      <c r="E26" s="605"/>
    </row>
    <row r="27" spans="2:5" ht="15.75" customHeight="1" x14ac:dyDescent="0.25">
      <c r="B27" s="605"/>
      <c r="E27" s="605"/>
    </row>
    <row r="28" spans="2:5" ht="15.75" customHeight="1" x14ac:dyDescent="0.25">
      <c r="B28" s="605"/>
      <c r="E28" s="605"/>
    </row>
    <row r="29" spans="2:5" ht="15.75" customHeight="1" x14ac:dyDescent="0.25">
      <c r="B29" s="605"/>
      <c r="E29" s="605"/>
    </row>
    <row r="30" spans="2:5" ht="15.75" customHeight="1" x14ac:dyDescent="0.25">
      <c r="B30" s="605"/>
      <c r="E30" s="605"/>
    </row>
    <row r="31" spans="2:5" ht="15.75" customHeight="1" x14ac:dyDescent="0.25">
      <c r="B31" s="605"/>
      <c r="E31" s="605"/>
    </row>
    <row r="32" spans="2:5" ht="15.75" customHeight="1" x14ac:dyDescent="0.25">
      <c r="B32" s="605"/>
      <c r="E32" s="605"/>
    </row>
    <row r="33" spans="2:5" ht="15.75" customHeight="1" x14ac:dyDescent="0.25">
      <c r="B33" s="605"/>
      <c r="E33" s="605"/>
    </row>
    <row r="34" spans="2:5" ht="15.75" customHeight="1" x14ac:dyDescent="0.25">
      <c r="B34" s="605"/>
      <c r="E34" s="605"/>
    </row>
    <row r="35" spans="2:5" ht="15.75" customHeight="1" x14ac:dyDescent="0.25">
      <c r="B35" s="605"/>
      <c r="E35" s="605"/>
    </row>
    <row r="36" spans="2:5" ht="15.75" customHeight="1" x14ac:dyDescent="0.25">
      <c r="B36" s="605" t="s">
        <v>853</v>
      </c>
      <c r="D36" s="605"/>
      <c r="E36" s="605" t="s">
        <v>854</v>
      </c>
    </row>
    <row r="37" spans="2:5" ht="15.75" customHeight="1" x14ac:dyDescent="0.25">
      <c r="B37" s="605"/>
      <c r="D37" s="605"/>
      <c r="E37" s="605" t="s">
        <v>855</v>
      </c>
    </row>
    <row r="38" spans="2:5" ht="15.75" customHeight="1" x14ac:dyDescent="0.25">
      <c r="B38" s="605"/>
      <c r="D38" s="605"/>
      <c r="E38" s="605" t="s">
        <v>856</v>
      </c>
    </row>
    <row r="39" spans="2:5" ht="15.75" customHeight="1" x14ac:dyDescent="0.25">
      <c r="B39" s="605"/>
      <c r="D39" s="605"/>
      <c r="E39" s="605" t="s">
        <v>857</v>
      </c>
    </row>
    <row r="40" spans="2:5" ht="15.75" customHeight="1" x14ac:dyDescent="0.25"/>
    <row r="41" spans="2:5" ht="15.75" customHeight="1" x14ac:dyDescent="0.25">
      <c r="B41" s="605" t="s">
        <v>560</v>
      </c>
      <c r="E41" s="608" t="s">
        <v>858</v>
      </c>
    </row>
    <row r="42" spans="2:5" ht="15.75" customHeight="1" x14ac:dyDescent="0.25">
      <c r="B42" s="605"/>
      <c r="E42" s="608"/>
    </row>
    <row r="43" spans="2:5" ht="15.75" customHeight="1" x14ac:dyDescent="0.25">
      <c r="E43" s="608"/>
    </row>
    <row r="44" spans="2:5" ht="15.75" customHeight="1" x14ac:dyDescent="0.25">
      <c r="B44" s="605" t="s">
        <v>859</v>
      </c>
      <c r="D44" s="605"/>
      <c r="E44" s="608" t="s">
        <v>860</v>
      </c>
    </row>
    <row r="45" spans="2:5" ht="15.75" customHeight="1" x14ac:dyDescent="0.25">
      <c r="B45" s="605"/>
      <c r="D45" s="605"/>
      <c r="E45" s="605"/>
    </row>
    <row r="46" spans="2:5" ht="15.75" customHeight="1" x14ac:dyDescent="0.25">
      <c r="B46" s="605"/>
      <c r="D46" s="605"/>
    </row>
    <row r="47" spans="2:5" ht="15.75" customHeight="1" x14ac:dyDescent="0.25">
      <c r="B47" s="605"/>
      <c r="D47" s="605"/>
    </row>
    <row r="48" spans="2:5" ht="15.75" customHeight="1" x14ac:dyDescent="0.25">
      <c r="B48" s="605"/>
      <c r="D48" s="605"/>
    </row>
    <row r="49" spans="1:14" ht="15.75" customHeight="1" x14ac:dyDescent="0.25">
      <c r="B49" s="605"/>
      <c r="D49" s="605"/>
    </row>
    <row r="50" spans="1:14" ht="15.75" customHeight="1" x14ac:dyDescent="0.25">
      <c r="B50" s="605"/>
      <c r="D50" s="605"/>
    </row>
    <row r="51" spans="1:14" ht="15.75" customHeight="1" x14ac:dyDescent="0.25">
      <c r="B51" s="605"/>
      <c r="D51" s="605"/>
    </row>
    <row r="52" spans="1:14" ht="15.75" customHeight="1" x14ac:dyDescent="0.25">
      <c r="B52" s="605"/>
      <c r="D52" s="605"/>
    </row>
    <row r="53" spans="1:14" ht="15.75" customHeight="1" x14ac:dyDescent="0.25">
      <c r="B53" s="605"/>
      <c r="D53" s="605"/>
    </row>
    <row r="54" spans="1:14" ht="15.75" customHeight="1" x14ac:dyDescent="0.25">
      <c r="B54" s="605"/>
      <c r="D54" s="605"/>
    </row>
    <row r="55" spans="1:14" ht="15.75" customHeight="1" x14ac:dyDescent="0.25">
      <c r="B55" s="605"/>
    </row>
    <row r="56" spans="1:14" ht="15.75" customHeight="1" x14ac:dyDescent="0.25">
      <c r="B56" s="605"/>
    </row>
    <row r="57" spans="1:14" ht="15.75" customHeight="1" x14ac:dyDescent="0.25">
      <c r="B57" s="605"/>
    </row>
    <row r="58" spans="1:14" ht="15.75" customHeight="1" x14ac:dyDescent="0.25">
      <c r="B58" s="605"/>
    </row>
    <row r="59" spans="1:14" ht="3" customHeight="1" x14ac:dyDescent="0.25">
      <c r="A59" s="609"/>
      <c r="B59" s="610"/>
      <c r="C59" s="609"/>
      <c r="D59" s="609"/>
      <c r="E59" s="609"/>
      <c r="F59" s="609"/>
      <c r="G59" s="609"/>
      <c r="H59" s="609"/>
      <c r="I59" s="609"/>
      <c r="J59" s="609"/>
      <c r="K59" s="609"/>
      <c r="L59" s="609"/>
      <c r="M59" s="609"/>
      <c r="N59" s="609"/>
    </row>
    <row r="60" spans="1:14" ht="15.75" customHeight="1" x14ac:dyDescent="0.25">
      <c r="B60" s="605"/>
    </row>
    <row r="61" spans="1:14" ht="15.75" customHeight="1" x14ac:dyDescent="0.35">
      <c r="A61" s="837" t="s">
        <v>512</v>
      </c>
      <c r="B61" s="837"/>
      <c r="C61" s="837"/>
      <c r="D61" s="837"/>
      <c r="E61" s="837"/>
      <c r="F61" s="837"/>
      <c r="G61" s="837"/>
      <c r="H61" s="837"/>
      <c r="I61" s="837"/>
      <c r="J61" s="837"/>
      <c r="K61" s="611"/>
    </row>
    <row r="62" spans="1:14" ht="21.75" customHeight="1" x14ac:dyDescent="0.35">
      <c r="A62" s="837"/>
      <c r="B62" s="837"/>
      <c r="C62" s="837"/>
      <c r="D62" s="837"/>
      <c r="E62" s="837"/>
      <c r="F62" s="837"/>
      <c r="G62" s="837"/>
      <c r="H62" s="837"/>
      <c r="I62" s="837"/>
      <c r="J62" s="837"/>
      <c r="K62" s="611"/>
    </row>
    <row r="63" spans="1:14" ht="15.75" customHeight="1" x14ac:dyDescent="0.25">
      <c r="B63" s="605"/>
    </row>
    <row r="64" spans="1:14" ht="15.5" x14ac:dyDescent="0.25">
      <c r="B64" s="605"/>
    </row>
    <row r="65" spans="2:2" ht="18.75" customHeight="1" x14ac:dyDescent="0.25">
      <c r="B65" s="605"/>
    </row>
    <row r="66" spans="2:2" ht="13.5" customHeight="1" x14ac:dyDescent="0.25">
      <c r="B66" s="605"/>
    </row>
    <row r="67" spans="2:2" ht="15.5" x14ac:dyDescent="0.25">
      <c r="B67" s="605"/>
    </row>
    <row r="82" spans="12:12" x14ac:dyDescent="0.25">
      <c r="L82" s="612"/>
    </row>
    <row r="214" spans="1:14" ht="3" customHeight="1" x14ac:dyDescent="0.25">
      <c r="A214" s="609"/>
      <c r="B214" s="610"/>
      <c r="C214" s="609"/>
      <c r="D214" s="609"/>
      <c r="E214" s="609"/>
      <c r="F214" s="609"/>
      <c r="G214" s="609"/>
      <c r="H214" s="609"/>
      <c r="I214" s="609"/>
      <c r="J214" s="609"/>
      <c r="K214" s="609"/>
      <c r="L214" s="609"/>
      <c r="M214" s="609"/>
      <c r="N214" s="609"/>
    </row>
    <row r="217" spans="1:14" ht="17.5" x14ac:dyDescent="0.35">
      <c r="A217" s="613" t="s">
        <v>324</v>
      </c>
      <c r="B217" s="614"/>
    </row>
    <row r="218" spans="1:14" ht="15.5" x14ac:dyDescent="0.35">
      <c r="B218" s="1"/>
    </row>
    <row r="219" spans="1:14" ht="30" customHeight="1" x14ac:dyDescent="0.35">
      <c r="B219" s="815" t="s">
        <v>325</v>
      </c>
      <c r="C219" s="815"/>
      <c r="D219" s="815"/>
      <c r="E219" s="815"/>
      <c r="F219" s="815"/>
      <c r="G219" s="815"/>
      <c r="H219" s="815"/>
      <c r="I219" s="815"/>
      <c r="J219" s="296"/>
    </row>
    <row r="220" spans="1:14" ht="15.5" x14ac:dyDescent="0.35">
      <c r="B220" s="615" t="s">
        <v>658</v>
      </c>
    </row>
    <row r="221" spans="1:14" ht="15.5" x14ac:dyDescent="0.35">
      <c r="B221" s="1"/>
    </row>
    <row r="222" spans="1:14" ht="45.75" customHeight="1" x14ac:dyDescent="0.35">
      <c r="B222" s="815" t="s">
        <v>326</v>
      </c>
      <c r="C222" s="815"/>
      <c r="D222" s="815"/>
      <c r="E222" s="815"/>
      <c r="F222" s="815"/>
      <c r="G222" s="815"/>
      <c r="H222" s="815"/>
    </row>
    <row r="223" spans="1:14" ht="15.5" x14ac:dyDescent="0.35">
      <c r="B223" s="615" t="s">
        <v>659</v>
      </c>
    </row>
    <row r="224" spans="1:14" ht="15.5" x14ac:dyDescent="0.35">
      <c r="B224" s="1"/>
    </row>
    <row r="225" spans="2:2" ht="15.5" x14ac:dyDescent="0.35">
      <c r="B225" s="1" t="s">
        <v>660</v>
      </c>
    </row>
    <row r="226" spans="2:2" ht="15.5" x14ac:dyDescent="0.35">
      <c r="B226" s="615" t="s">
        <v>661</v>
      </c>
    </row>
    <row r="227" spans="2:2" ht="15.5" x14ac:dyDescent="0.35">
      <c r="B227" s="1"/>
    </row>
    <row r="228" spans="2:2" ht="15.5" x14ac:dyDescent="0.35">
      <c r="B228" s="1" t="s">
        <v>327</v>
      </c>
    </row>
    <row r="229" spans="2:2" ht="15.5" x14ac:dyDescent="0.35">
      <c r="B229" s="615" t="s">
        <v>662</v>
      </c>
    </row>
    <row r="230" spans="2:2" ht="15.5" x14ac:dyDescent="0.35">
      <c r="B230" s="1"/>
    </row>
    <row r="231" spans="2:2" ht="15.5" x14ac:dyDescent="0.35">
      <c r="B231" s="1" t="s">
        <v>328</v>
      </c>
    </row>
    <row r="232" spans="2:2" ht="15.5" x14ac:dyDescent="0.35">
      <c r="B232" s="615" t="s">
        <v>663</v>
      </c>
    </row>
    <row r="233" spans="2:2" ht="15.5" x14ac:dyDescent="0.35">
      <c r="B233" s="1"/>
    </row>
    <row r="234" spans="2:2" ht="15.5" x14ac:dyDescent="0.35">
      <c r="B234" s="1" t="s">
        <v>664</v>
      </c>
    </row>
    <row r="235" spans="2:2" ht="15.5" x14ac:dyDescent="0.35">
      <c r="B235" s="615" t="s">
        <v>665</v>
      </c>
    </row>
    <row r="236" spans="2:2" ht="15.5" x14ac:dyDescent="0.35">
      <c r="B236" s="1"/>
    </row>
    <row r="237" spans="2:2" ht="15.5" x14ac:dyDescent="0.35">
      <c r="B237" s="1" t="s">
        <v>329</v>
      </c>
    </row>
    <row r="238" spans="2:2" ht="15.5" x14ac:dyDescent="0.35">
      <c r="B238" s="615" t="s">
        <v>666</v>
      </c>
    </row>
    <row r="239" spans="2:2" ht="15.5" x14ac:dyDescent="0.35">
      <c r="B239" s="1"/>
    </row>
    <row r="240" spans="2:2" ht="15.5" x14ac:dyDescent="0.35">
      <c r="B240" s="1" t="s">
        <v>330</v>
      </c>
    </row>
    <row r="241" spans="2:2" ht="15.5" x14ac:dyDescent="0.35">
      <c r="B241" s="615" t="s">
        <v>667</v>
      </c>
    </row>
    <row r="242" spans="2:2" ht="15.5" x14ac:dyDescent="0.35">
      <c r="B242" s="1"/>
    </row>
    <row r="243" spans="2:2" ht="15.5" x14ac:dyDescent="0.35">
      <c r="B243" s="1" t="s">
        <v>331</v>
      </c>
    </row>
    <row r="244" spans="2:2" ht="15.5" x14ac:dyDescent="0.35">
      <c r="B244" s="615" t="s">
        <v>668</v>
      </c>
    </row>
    <row r="245" spans="2:2" ht="15.5" x14ac:dyDescent="0.35">
      <c r="B245" s="1"/>
    </row>
  </sheetData>
  <sheetProtection sheet="1" objects="1" scenarios="1"/>
  <mergeCells count="3">
    <mergeCell ref="A61:J62"/>
    <mergeCell ref="B219:I219"/>
    <mergeCell ref="B222:H222"/>
  </mergeCells>
  <hyperlinks>
    <hyperlink ref="B244" r:id="rId1" xr:uid="{735438E4-9C65-47BC-AA5C-06C287327801}"/>
  </hyperlinks>
  <pageMargins left="0.7" right="0.7" top="0.75" bottom="0.75" header="0.3" footer="0.3"/>
  <pageSetup orientation="landscape"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78A4B-9BD8-4F15-B469-E56D0686DEA4}">
  <sheetPr codeName="Sheet51"/>
  <dimension ref="A1:J324"/>
  <sheetViews>
    <sheetView workbookViewId="0">
      <selection activeCell="A6" sqref="A6"/>
    </sheetView>
  </sheetViews>
  <sheetFormatPr defaultColWidth="8.9140625" defaultRowHeight="15.5" x14ac:dyDescent="0.25"/>
  <cols>
    <col min="1" max="1" width="86.58203125" style="25" customWidth="1"/>
    <col min="2" max="16384" width="8.9140625" style="24"/>
  </cols>
  <sheetData>
    <row r="1" spans="1:10" customFormat="1" ht="18.75" customHeight="1" x14ac:dyDescent="0.25">
      <c r="A1" s="635" t="s">
        <v>965</v>
      </c>
      <c r="B1" s="635"/>
      <c r="C1" s="635"/>
      <c r="D1" s="635"/>
      <c r="E1" s="635"/>
      <c r="F1" s="635"/>
      <c r="G1" s="635"/>
      <c r="H1" s="635"/>
      <c r="I1" s="635"/>
      <c r="J1" s="635"/>
    </row>
    <row r="2" spans="1:10" customFormat="1" ht="46.5" x14ac:dyDescent="0.25">
      <c r="A2" s="636" t="s">
        <v>966</v>
      </c>
      <c r="B2" s="636"/>
      <c r="C2" s="636"/>
      <c r="D2" s="636"/>
      <c r="E2" s="636"/>
      <c r="F2" s="636"/>
      <c r="G2" s="636"/>
      <c r="H2" s="636"/>
      <c r="I2" s="636"/>
      <c r="J2" s="636"/>
    </row>
    <row r="3" spans="1:10" customFormat="1" ht="31" x14ac:dyDescent="0.25">
      <c r="A3" s="461" t="s">
        <v>967</v>
      </c>
      <c r="B3" s="461"/>
      <c r="C3" s="461"/>
      <c r="D3" s="461"/>
      <c r="E3" s="461"/>
      <c r="F3" s="461"/>
      <c r="G3" s="461"/>
      <c r="H3" s="461"/>
      <c r="I3" s="461"/>
      <c r="J3" s="461"/>
    </row>
    <row r="4" spans="1:10" customFormat="1" ht="15.75" customHeight="1" x14ac:dyDescent="0.25">
      <c r="A4" s="461" t="s">
        <v>968</v>
      </c>
      <c r="B4" s="461"/>
      <c r="C4" s="461"/>
      <c r="D4" s="461"/>
      <c r="E4" s="461"/>
      <c r="F4" s="461"/>
      <c r="G4" s="461"/>
      <c r="H4" s="461"/>
      <c r="I4" s="461"/>
      <c r="J4" s="461"/>
    </row>
    <row r="5" spans="1:10" customFormat="1" ht="62" x14ac:dyDescent="0.25">
      <c r="A5" s="461" t="s">
        <v>969</v>
      </c>
      <c r="B5" s="461"/>
      <c r="C5" s="461"/>
      <c r="D5" s="461"/>
      <c r="E5" s="461"/>
      <c r="F5" s="461"/>
      <c r="G5" s="461"/>
      <c r="H5" s="461"/>
      <c r="I5" s="461"/>
      <c r="J5" s="461"/>
    </row>
    <row r="6" spans="1:10" customFormat="1" x14ac:dyDescent="0.25">
      <c r="A6" s="461"/>
      <c r="B6" s="461"/>
      <c r="C6" s="461"/>
      <c r="D6" s="461"/>
      <c r="E6" s="461"/>
      <c r="F6" s="461"/>
      <c r="G6" s="461"/>
      <c r="H6" s="461"/>
      <c r="I6" s="461"/>
      <c r="J6" s="461"/>
    </row>
    <row r="7" spans="1:10" x14ac:dyDescent="0.25">
      <c r="A7" s="561" t="s">
        <v>961</v>
      </c>
    </row>
    <row r="8" spans="1:10" x14ac:dyDescent="0.25">
      <c r="A8" s="25" t="s">
        <v>957</v>
      </c>
    </row>
    <row r="9" spans="1:10" x14ac:dyDescent="0.25">
      <c r="A9" s="25" t="s">
        <v>958</v>
      </c>
    </row>
    <row r="10" spans="1:10" x14ac:dyDescent="0.25">
      <c r="A10" s="24" t="s">
        <v>959</v>
      </c>
    </row>
    <row r="11" spans="1:10" x14ac:dyDescent="0.25">
      <c r="A11" s="24" t="s">
        <v>962</v>
      </c>
    </row>
    <row r="13" spans="1:10" ht="15.75" customHeight="1" x14ac:dyDescent="0.25">
      <c r="A13" s="561" t="s">
        <v>955</v>
      </c>
    </row>
    <row r="14" spans="1:10" ht="31" x14ac:dyDescent="0.25">
      <c r="A14" s="25" t="s">
        <v>956</v>
      </c>
    </row>
    <row r="16" spans="1:10" x14ac:dyDescent="0.25">
      <c r="A16" s="561" t="s">
        <v>861</v>
      </c>
    </row>
    <row r="17" spans="1:1" ht="15" customHeight="1" x14ac:dyDescent="0.25">
      <c r="A17" s="25" t="s">
        <v>862</v>
      </c>
    </row>
    <row r="18" spans="1:1" ht="17.25" customHeight="1" x14ac:dyDescent="0.25">
      <c r="A18" s="25" t="s">
        <v>863</v>
      </c>
    </row>
    <row r="19" spans="1:1" x14ac:dyDescent="0.25">
      <c r="A19" s="25" t="s">
        <v>864</v>
      </c>
    </row>
    <row r="20" spans="1:1" x14ac:dyDescent="0.25">
      <c r="A20" s="25" t="s">
        <v>865</v>
      </c>
    </row>
    <row r="21" spans="1:1" x14ac:dyDescent="0.25">
      <c r="A21" s="25" t="s">
        <v>866</v>
      </c>
    </row>
    <row r="23" spans="1:1" x14ac:dyDescent="0.25">
      <c r="A23" s="561" t="s">
        <v>867</v>
      </c>
    </row>
    <row r="24" spans="1:1" x14ac:dyDescent="0.25">
      <c r="A24" s="25" t="s">
        <v>649</v>
      </c>
    </row>
    <row r="25" spans="1:1" ht="31" x14ac:dyDescent="0.25">
      <c r="A25" s="25" t="s">
        <v>650</v>
      </c>
    </row>
    <row r="26" spans="1:1" ht="31" x14ac:dyDescent="0.25">
      <c r="A26" s="25" t="s">
        <v>651</v>
      </c>
    </row>
    <row r="27" spans="1:1" ht="31" x14ac:dyDescent="0.25">
      <c r="A27" s="25" t="s">
        <v>652</v>
      </c>
    </row>
    <row r="28" spans="1:1" x14ac:dyDescent="0.25">
      <c r="A28" s="25" t="s">
        <v>653</v>
      </c>
    </row>
    <row r="29" spans="1:1" ht="31" x14ac:dyDescent="0.25">
      <c r="A29" s="25" t="s">
        <v>654</v>
      </c>
    </row>
    <row r="30" spans="1:1" x14ac:dyDescent="0.25">
      <c r="A30" s="25" t="s">
        <v>655</v>
      </c>
    </row>
    <row r="31" spans="1:1" ht="31" x14ac:dyDescent="0.25">
      <c r="A31" s="25" t="s">
        <v>656</v>
      </c>
    </row>
    <row r="32" spans="1:1" x14ac:dyDescent="0.25">
      <c r="A32" s="25" t="s">
        <v>657</v>
      </c>
    </row>
    <row r="33" spans="1:1" x14ac:dyDescent="0.25">
      <c r="A33" s="25" t="s">
        <v>868</v>
      </c>
    </row>
    <row r="35" spans="1:1" x14ac:dyDescent="0.25">
      <c r="A35" s="561" t="s">
        <v>562</v>
      </c>
    </row>
    <row r="36" spans="1:1" x14ac:dyDescent="0.25">
      <c r="A36" s="25" t="s">
        <v>563</v>
      </c>
    </row>
    <row r="37" spans="1:1" x14ac:dyDescent="0.25">
      <c r="A37" s="25" t="s">
        <v>564</v>
      </c>
    </row>
    <row r="38" spans="1:1" x14ac:dyDescent="0.25">
      <c r="A38" s="25" t="s">
        <v>565</v>
      </c>
    </row>
    <row r="39" spans="1:1" x14ac:dyDescent="0.25">
      <c r="A39" s="25" t="s">
        <v>566</v>
      </c>
    </row>
    <row r="40" spans="1:1" x14ac:dyDescent="0.25">
      <c r="A40" s="25" t="s">
        <v>869</v>
      </c>
    </row>
    <row r="42" spans="1:1" x14ac:dyDescent="0.35">
      <c r="A42" s="616" t="s">
        <v>870</v>
      </c>
    </row>
    <row r="43" spans="1:1" x14ac:dyDescent="0.25">
      <c r="A43" s="25" t="s">
        <v>555</v>
      </c>
    </row>
    <row r="44" spans="1:1" ht="31" x14ac:dyDescent="0.25">
      <c r="A44" s="25" t="s">
        <v>556</v>
      </c>
    </row>
    <row r="45" spans="1:1" x14ac:dyDescent="0.25">
      <c r="A45" s="25" t="s">
        <v>557</v>
      </c>
    </row>
    <row r="46" spans="1:1" x14ac:dyDescent="0.25">
      <c r="A46" s="25" t="s">
        <v>558</v>
      </c>
    </row>
    <row r="47" spans="1:1" x14ac:dyDescent="0.25">
      <c r="A47" s="25" t="s">
        <v>559</v>
      </c>
    </row>
    <row r="50" spans="1:1" x14ac:dyDescent="0.35">
      <c r="A50" s="616" t="s">
        <v>871</v>
      </c>
    </row>
    <row r="51" spans="1:1" x14ac:dyDescent="0.25">
      <c r="A51" s="25" t="s">
        <v>548</v>
      </c>
    </row>
    <row r="52" spans="1:1" x14ac:dyDescent="0.25">
      <c r="A52" s="25" t="s">
        <v>549</v>
      </c>
    </row>
    <row r="53" spans="1:1" x14ac:dyDescent="0.25">
      <c r="A53" s="25" t="s">
        <v>550</v>
      </c>
    </row>
    <row r="54" spans="1:1" x14ac:dyDescent="0.25">
      <c r="A54" s="25" t="s">
        <v>551</v>
      </c>
    </row>
    <row r="55" spans="1:1" x14ac:dyDescent="0.25">
      <c r="A55" s="25" t="s">
        <v>552</v>
      </c>
    </row>
    <row r="56" spans="1:1" x14ac:dyDescent="0.25">
      <c r="A56" s="25" t="s">
        <v>553</v>
      </c>
    </row>
    <row r="58" spans="1:1" x14ac:dyDescent="0.35">
      <c r="A58" s="616" t="s">
        <v>538</v>
      </c>
    </row>
    <row r="59" spans="1:1" x14ac:dyDescent="0.25">
      <c r="A59" s="25" t="s">
        <v>539</v>
      </c>
    </row>
    <row r="60" spans="1:1" x14ac:dyDescent="0.25">
      <c r="A60" s="25" t="s">
        <v>540</v>
      </c>
    </row>
    <row r="61" spans="1:1" x14ac:dyDescent="0.25">
      <c r="A61" s="25" t="s">
        <v>541</v>
      </c>
    </row>
    <row r="62" spans="1:1" x14ac:dyDescent="0.25">
      <c r="A62" s="25" t="s">
        <v>542</v>
      </c>
    </row>
    <row r="63" spans="1:1" ht="31" x14ac:dyDescent="0.25">
      <c r="A63" s="25" t="s">
        <v>543</v>
      </c>
    </row>
    <row r="64" spans="1:1" x14ac:dyDescent="0.25">
      <c r="A64" s="25" t="s">
        <v>544</v>
      </c>
    </row>
    <row r="65" spans="1:1" x14ac:dyDescent="0.25">
      <c r="A65" s="25" t="s">
        <v>545</v>
      </c>
    </row>
    <row r="66" spans="1:1" x14ac:dyDescent="0.25">
      <c r="A66" s="25" t="s">
        <v>546</v>
      </c>
    </row>
    <row r="68" spans="1:1" x14ac:dyDescent="0.35">
      <c r="A68" s="616" t="s">
        <v>532</v>
      </c>
    </row>
    <row r="69" spans="1:1" x14ac:dyDescent="0.25">
      <c r="A69" s="617" t="s">
        <v>533</v>
      </c>
    </row>
    <row r="70" spans="1:1" ht="31" x14ac:dyDescent="0.25">
      <c r="A70" s="617" t="s">
        <v>534</v>
      </c>
    </row>
    <row r="72" spans="1:1" x14ac:dyDescent="0.35">
      <c r="A72" s="618" t="s">
        <v>872</v>
      </c>
    </row>
    <row r="73" spans="1:1" x14ac:dyDescent="0.35">
      <c r="A73" s="296" t="s">
        <v>531</v>
      </c>
    </row>
    <row r="75" spans="1:1" x14ac:dyDescent="0.35">
      <c r="A75" s="618" t="s">
        <v>873</v>
      </c>
    </row>
    <row r="76" spans="1:1" x14ac:dyDescent="0.35">
      <c r="A76" s="296" t="s">
        <v>874</v>
      </c>
    </row>
    <row r="77" spans="1:1" x14ac:dyDescent="0.35">
      <c r="A77" s="296" t="s">
        <v>875</v>
      </c>
    </row>
    <row r="78" spans="1:1" x14ac:dyDescent="0.35">
      <c r="A78" s="296" t="s">
        <v>876</v>
      </c>
    </row>
    <row r="79" spans="1:1" x14ac:dyDescent="0.35">
      <c r="A79" s="296" t="s">
        <v>877</v>
      </c>
    </row>
    <row r="80" spans="1:1" x14ac:dyDescent="0.35">
      <c r="A80" s="296" t="s">
        <v>878</v>
      </c>
    </row>
    <row r="81" spans="1:1" x14ac:dyDescent="0.35">
      <c r="A81" s="296" t="s">
        <v>879</v>
      </c>
    </row>
    <row r="83" spans="1:1" x14ac:dyDescent="0.25">
      <c r="A83" s="619" t="s">
        <v>528</v>
      </c>
    </row>
    <row r="84" spans="1:1" x14ac:dyDescent="0.25">
      <c r="A84" s="617" t="s">
        <v>529</v>
      </c>
    </row>
    <row r="85" spans="1:1" x14ac:dyDescent="0.25">
      <c r="A85" s="25" t="s">
        <v>530</v>
      </c>
    </row>
    <row r="87" spans="1:1" x14ac:dyDescent="0.25">
      <c r="A87" s="619" t="s">
        <v>880</v>
      </c>
    </row>
    <row r="88" spans="1:1" x14ac:dyDescent="0.25">
      <c r="A88" s="617" t="s">
        <v>526</v>
      </c>
    </row>
    <row r="90" spans="1:1" x14ac:dyDescent="0.25">
      <c r="A90" s="619" t="s">
        <v>881</v>
      </c>
    </row>
    <row r="91" spans="1:1" x14ac:dyDescent="0.25">
      <c r="A91" s="617" t="s">
        <v>882</v>
      </c>
    </row>
    <row r="93" spans="1:1" x14ac:dyDescent="0.25">
      <c r="A93" s="619" t="s">
        <v>883</v>
      </c>
    </row>
    <row r="94" spans="1:1" x14ac:dyDescent="0.25">
      <c r="A94" s="617" t="s">
        <v>504</v>
      </c>
    </row>
    <row r="96" spans="1:1" x14ac:dyDescent="0.25">
      <c r="A96" s="619" t="s">
        <v>503</v>
      </c>
    </row>
    <row r="97" spans="1:1" x14ac:dyDescent="0.25">
      <c r="A97" s="617" t="s">
        <v>502</v>
      </c>
    </row>
    <row r="99" spans="1:1" x14ac:dyDescent="0.25">
      <c r="A99" s="619" t="s">
        <v>488</v>
      </c>
    </row>
    <row r="100" spans="1:1" x14ac:dyDescent="0.25">
      <c r="A100" s="617" t="s">
        <v>489</v>
      </c>
    </row>
    <row r="102" spans="1:1" x14ac:dyDescent="0.25">
      <c r="A102" s="619" t="s">
        <v>884</v>
      </c>
    </row>
    <row r="103" spans="1:1" x14ac:dyDescent="0.25">
      <c r="A103" s="554" t="s">
        <v>487</v>
      </c>
    </row>
    <row r="105" spans="1:1" x14ac:dyDescent="0.25">
      <c r="A105" s="619" t="s">
        <v>885</v>
      </c>
    </row>
    <row r="106" spans="1:1" x14ac:dyDescent="0.25">
      <c r="A106" s="25" t="s">
        <v>886</v>
      </c>
    </row>
    <row r="108" spans="1:1" x14ac:dyDescent="0.25">
      <c r="A108" s="619" t="s">
        <v>490</v>
      </c>
    </row>
    <row r="109" spans="1:1" x14ac:dyDescent="0.25">
      <c r="A109" s="25" t="s">
        <v>486</v>
      </c>
    </row>
    <row r="111" spans="1:1" x14ac:dyDescent="0.25">
      <c r="A111" s="619" t="s">
        <v>491</v>
      </c>
    </row>
    <row r="112" spans="1:1" x14ac:dyDescent="0.25">
      <c r="A112" s="25" t="s">
        <v>485</v>
      </c>
    </row>
    <row r="114" spans="1:1" x14ac:dyDescent="0.25">
      <c r="A114" s="619" t="s">
        <v>492</v>
      </c>
    </row>
    <row r="115" spans="1:1" x14ac:dyDescent="0.25">
      <c r="A115" s="620" t="s">
        <v>484</v>
      </c>
    </row>
    <row r="117" spans="1:1" x14ac:dyDescent="0.25">
      <c r="A117" s="619" t="s">
        <v>493</v>
      </c>
    </row>
    <row r="118" spans="1:1" x14ac:dyDescent="0.25">
      <c r="A118" s="25" t="s">
        <v>480</v>
      </c>
    </row>
    <row r="120" spans="1:1" x14ac:dyDescent="0.25">
      <c r="A120" s="619" t="s">
        <v>887</v>
      </c>
    </row>
    <row r="121" spans="1:1" x14ac:dyDescent="0.25">
      <c r="A121" s="25" t="s">
        <v>888</v>
      </c>
    </row>
    <row r="122" spans="1:1" x14ac:dyDescent="0.25">
      <c r="A122" s="25" t="s">
        <v>889</v>
      </c>
    </row>
    <row r="124" spans="1:1" x14ac:dyDescent="0.25">
      <c r="A124" s="619" t="s">
        <v>494</v>
      </c>
    </row>
    <row r="125" spans="1:1" x14ac:dyDescent="0.25">
      <c r="A125" s="621" t="s">
        <v>479</v>
      </c>
    </row>
    <row r="127" spans="1:1" x14ac:dyDescent="0.25">
      <c r="A127" s="619" t="s">
        <v>495</v>
      </c>
    </row>
    <row r="128" spans="1:1" x14ac:dyDescent="0.25">
      <c r="A128" s="620" t="s">
        <v>378</v>
      </c>
    </row>
    <row r="129" spans="1:1" x14ac:dyDescent="0.25">
      <c r="A129" s="25" t="s">
        <v>379</v>
      </c>
    </row>
    <row r="130" spans="1:1" x14ac:dyDescent="0.25">
      <c r="A130" s="25" t="s">
        <v>380</v>
      </c>
    </row>
    <row r="131" spans="1:1" x14ac:dyDescent="0.25">
      <c r="A131" s="25" t="s">
        <v>381</v>
      </c>
    </row>
    <row r="132" spans="1:1" x14ac:dyDescent="0.25">
      <c r="A132" s="25" t="s">
        <v>382</v>
      </c>
    </row>
    <row r="133" spans="1:1" ht="31" x14ac:dyDescent="0.25">
      <c r="A133" s="25" t="s">
        <v>383</v>
      </c>
    </row>
    <row r="134" spans="1:1" x14ac:dyDescent="0.25">
      <c r="A134" s="25" t="s">
        <v>384</v>
      </c>
    </row>
    <row r="135" spans="1:1" x14ac:dyDescent="0.25">
      <c r="A135" s="25" t="s">
        <v>385</v>
      </c>
    </row>
    <row r="136" spans="1:1" ht="48.75" customHeight="1" x14ac:dyDescent="0.25">
      <c r="A136" s="25" t="s">
        <v>386</v>
      </c>
    </row>
    <row r="137" spans="1:1" ht="31" x14ac:dyDescent="0.25">
      <c r="A137" s="25" t="s">
        <v>387</v>
      </c>
    </row>
    <row r="138" spans="1:1" ht="36" customHeight="1" x14ac:dyDescent="0.25">
      <c r="A138" s="25" t="s">
        <v>388</v>
      </c>
    </row>
    <row r="139" spans="1:1" x14ac:dyDescent="0.25">
      <c r="A139" s="25" t="s">
        <v>389</v>
      </c>
    </row>
    <row r="140" spans="1:1" x14ac:dyDescent="0.25">
      <c r="A140" s="25" t="s">
        <v>390</v>
      </c>
    </row>
    <row r="141" spans="1:1" ht="31" x14ac:dyDescent="0.25">
      <c r="A141" s="25" t="s">
        <v>391</v>
      </c>
    </row>
    <row r="142" spans="1:1" ht="31" x14ac:dyDescent="0.25">
      <c r="A142" s="25" t="s">
        <v>392</v>
      </c>
    </row>
    <row r="143" spans="1:1" ht="31" x14ac:dyDescent="0.25">
      <c r="A143" s="25" t="s">
        <v>393</v>
      </c>
    </row>
    <row r="144" spans="1:1" ht="46.5" x14ac:dyDescent="0.25">
      <c r="A144" s="25" t="s">
        <v>394</v>
      </c>
    </row>
    <row r="145" spans="1:1" x14ac:dyDescent="0.25">
      <c r="A145" s="554" t="s">
        <v>395</v>
      </c>
    </row>
    <row r="146" spans="1:1" ht="31" x14ac:dyDescent="0.25">
      <c r="A146" s="25" t="s">
        <v>396</v>
      </c>
    </row>
    <row r="147" spans="1:1" x14ac:dyDescent="0.25">
      <c r="A147" s="25" t="s">
        <v>397</v>
      </c>
    </row>
    <row r="148" spans="1:1" x14ac:dyDescent="0.25">
      <c r="A148" s="25" t="s">
        <v>398</v>
      </c>
    </row>
    <row r="149" spans="1:1" x14ac:dyDescent="0.25">
      <c r="A149" s="25" t="s">
        <v>399</v>
      </c>
    </row>
    <row r="150" spans="1:1" x14ac:dyDescent="0.25">
      <c r="A150" s="25" t="s">
        <v>400</v>
      </c>
    </row>
    <row r="151" spans="1:1" x14ac:dyDescent="0.25">
      <c r="A151" s="25" t="s">
        <v>401</v>
      </c>
    </row>
    <row r="152" spans="1:1" ht="15.75" customHeight="1" x14ac:dyDescent="0.25">
      <c r="A152" s="25" t="s">
        <v>402</v>
      </c>
    </row>
    <row r="153" spans="1:1" ht="31" x14ac:dyDescent="0.25">
      <c r="A153" s="25" t="s">
        <v>403</v>
      </c>
    </row>
    <row r="154" spans="1:1" ht="31" x14ac:dyDescent="0.25">
      <c r="A154" s="25" t="s">
        <v>404</v>
      </c>
    </row>
    <row r="155" spans="1:1" x14ac:dyDescent="0.25">
      <c r="A155" s="25" t="s">
        <v>405</v>
      </c>
    </row>
    <row r="156" spans="1:1" x14ac:dyDescent="0.25">
      <c r="A156" s="25" t="s">
        <v>406</v>
      </c>
    </row>
    <row r="157" spans="1:1" x14ac:dyDescent="0.25">
      <c r="A157" s="25" t="s">
        <v>407</v>
      </c>
    </row>
    <row r="158" spans="1:1" x14ac:dyDescent="0.25">
      <c r="A158" s="25" t="s">
        <v>408</v>
      </c>
    </row>
    <row r="159" spans="1:1" ht="15.75" customHeight="1" x14ac:dyDescent="0.25">
      <c r="A159" s="25" t="s">
        <v>409</v>
      </c>
    </row>
    <row r="160" spans="1:1" ht="31" x14ac:dyDescent="0.25">
      <c r="A160" s="25" t="s">
        <v>410</v>
      </c>
    </row>
    <row r="161" spans="1:1" x14ac:dyDescent="0.25">
      <c r="A161" s="25" t="s">
        <v>478</v>
      </c>
    </row>
    <row r="162" spans="1:1" ht="31" x14ac:dyDescent="0.25">
      <c r="A162" s="25" t="s">
        <v>890</v>
      </c>
    </row>
    <row r="164" spans="1:1" x14ac:dyDescent="0.25">
      <c r="A164" s="619" t="s">
        <v>891</v>
      </c>
    </row>
    <row r="165" spans="1:1" ht="31" x14ac:dyDescent="0.25">
      <c r="A165" s="25" t="s">
        <v>892</v>
      </c>
    </row>
    <row r="167" spans="1:1" x14ac:dyDescent="0.25">
      <c r="A167" s="619" t="s">
        <v>496</v>
      </c>
    </row>
    <row r="168" spans="1:1" ht="31" x14ac:dyDescent="0.25">
      <c r="A168" s="25" t="s">
        <v>893</v>
      </c>
    </row>
    <row r="169" spans="1:1" ht="15.75" customHeight="1" x14ac:dyDescent="0.25">
      <c r="A169" s="25" t="s">
        <v>894</v>
      </c>
    </row>
    <row r="171" spans="1:1" x14ac:dyDescent="0.25">
      <c r="A171" s="619" t="s">
        <v>895</v>
      </c>
    </row>
    <row r="172" spans="1:1" ht="31" x14ac:dyDescent="0.25">
      <c r="A172" s="25" t="s">
        <v>896</v>
      </c>
    </row>
    <row r="174" spans="1:1" ht="19.5" customHeight="1" x14ac:dyDescent="0.25">
      <c r="A174" s="619" t="s">
        <v>897</v>
      </c>
    </row>
    <row r="175" spans="1:1" x14ac:dyDescent="0.25">
      <c r="A175" s="25" t="s">
        <v>898</v>
      </c>
    </row>
    <row r="177" spans="1:1" x14ac:dyDescent="0.25">
      <c r="A177" s="619" t="s">
        <v>497</v>
      </c>
    </row>
    <row r="178" spans="1:1" x14ac:dyDescent="0.25">
      <c r="A178" s="300" t="s">
        <v>376</v>
      </c>
    </row>
    <row r="179" spans="1:1" x14ac:dyDescent="0.25">
      <c r="A179" s="300" t="s">
        <v>899</v>
      </c>
    </row>
    <row r="181" spans="1:1" x14ac:dyDescent="0.25">
      <c r="A181" s="619" t="s">
        <v>900</v>
      </c>
    </row>
    <row r="182" spans="1:1" x14ac:dyDescent="0.25">
      <c r="A182" s="25" t="s">
        <v>901</v>
      </c>
    </row>
    <row r="183" spans="1:1" x14ac:dyDescent="0.25">
      <c r="A183" s="25" t="s">
        <v>902</v>
      </c>
    </row>
    <row r="184" spans="1:1" x14ac:dyDescent="0.25">
      <c r="A184" s="25" t="s">
        <v>903</v>
      </c>
    </row>
    <row r="186" spans="1:1" x14ac:dyDescent="0.25">
      <c r="A186" s="619" t="s">
        <v>904</v>
      </c>
    </row>
    <row r="187" spans="1:1" x14ac:dyDescent="0.25">
      <c r="A187" s="300" t="s">
        <v>332</v>
      </c>
    </row>
    <row r="188" spans="1:1" x14ac:dyDescent="0.25">
      <c r="A188" s="300" t="s">
        <v>333</v>
      </c>
    </row>
    <row r="189" spans="1:1" ht="31" x14ac:dyDescent="0.25">
      <c r="A189" s="300" t="s">
        <v>905</v>
      </c>
    </row>
    <row r="190" spans="1:1" x14ac:dyDescent="0.25">
      <c r="A190" s="300" t="s">
        <v>353</v>
      </c>
    </row>
    <row r="191" spans="1:1" x14ac:dyDescent="0.25">
      <c r="A191" s="300" t="s">
        <v>354</v>
      </c>
    </row>
    <row r="192" spans="1:1" x14ac:dyDescent="0.25">
      <c r="A192" s="300" t="s">
        <v>355</v>
      </c>
    </row>
    <row r="193" spans="1:1" x14ac:dyDescent="0.25">
      <c r="A193" s="300" t="s">
        <v>356</v>
      </c>
    </row>
    <row r="194" spans="1:1" x14ac:dyDescent="0.25">
      <c r="A194" s="300" t="s">
        <v>357</v>
      </c>
    </row>
    <row r="195" spans="1:1" x14ac:dyDescent="0.25">
      <c r="A195" s="300" t="s">
        <v>358</v>
      </c>
    </row>
    <row r="196" spans="1:1" x14ac:dyDescent="0.25">
      <c r="A196" s="300" t="s">
        <v>359</v>
      </c>
    </row>
    <row r="197" spans="1:1" x14ac:dyDescent="0.25">
      <c r="A197" s="300" t="s">
        <v>360</v>
      </c>
    </row>
    <row r="198" spans="1:1" x14ac:dyDescent="0.25">
      <c r="A198" s="300" t="s">
        <v>361</v>
      </c>
    </row>
    <row r="199" spans="1:1" x14ac:dyDescent="0.25">
      <c r="A199" s="300" t="s">
        <v>362</v>
      </c>
    </row>
    <row r="200" spans="1:1" x14ac:dyDescent="0.25">
      <c r="A200" s="300" t="s">
        <v>906</v>
      </c>
    </row>
    <row r="201" spans="1:1" x14ac:dyDescent="0.25">
      <c r="A201" s="300" t="s">
        <v>363</v>
      </c>
    </row>
    <row r="202" spans="1:1" x14ac:dyDescent="0.25">
      <c r="A202" s="300" t="s">
        <v>364</v>
      </c>
    </row>
    <row r="203" spans="1:1" x14ac:dyDescent="0.25">
      <c r="A203" s="300" t="s">
        <v>365</v>
      </c>
    </row>
    <row r="204" spans="1:1" ht="18" customHeight="1" x14ac:dyDescent="0.25">
      <c r="A204" s="300" t="s">
        <v>366</v>
      </c>
    </row>
    <row r="205" spans="1:1" x14ac:dyDescent="0.25">
      <c r="A205" s="300" t="s">
        <v>367</v>
      </c>
    </row>
    <row r="206" spans="1:1" x14ac:dyDescent="0.25">
      <c r="A206" s="300" t="s">
        <v>368</v>
      </c>
    </row>
    <row r="207" spans="1:1" x14ac:dyDescent="0.25">
      <c r="A207" s="300" t="s">
        <v>369</v>
      </c>
    </row>
    <row r="208" spans="1:1" x14ac:dyDescent="0.25">
      <c r="A208" s="300" t="s">
        <v>370</v>
      </c>
    </row>
    <row r="209" spans="1:1" ht="16.5" customHeight="1" x14ac:dyDescent="0.25">
      <c r="A209" s="300" t="s">
        <v>371</v>
      </c>
    </row>
    <row r="210" spans="1:1" x14ac:dyDescent="0.25">
      <c r="A210" s="300" t="s">
        <v>372</v>
      </c>
    </row>
    <row r="211" spans="1:1" x14ac:dyDescent="0.25">
      <c r="A211" s="300" t="s">
        <v>373</v>
      </c>
    </row>
    <row r="212" spans="1:1" x14ac:dyDescent="0.25">
      <c r="A212" s="300" t="s">
        <v>374</v>
      </c>
    </row>
    <row r="213" spans="1:1" x14ac:dyDescent="0.25">
      <c r="A213" s="300" t="s">
        <v>375</v>
      </c>
    </row>
    <row r="214" spans="1:1" x14ac:dyDescent="0.25">
      <c r="A214" s="300" t="s">
        <v>907</v>
      </c>
    </row>
    <row r="216" spans="1:1" x14ac:dyDescent="0.25">
      <c r="A216" s="619" t="s">
        <v>498</v>
      </c>
    </row>
    <row r="217" spans="1:1" x14ac:dyDescent="0.25">
      <c r="A217" s="25" t="s">
        <v>314</v>
      </c>
    </row>
    <row r="218" spans="1:1" ht="31" x14ac:dyDescent="0.25">
      <c r="A218" s="25" t="s">
        <v>315</v>
      </c>
    </row>
    <row r="219" spans="1:1" ht="17.25" customHeight="1" x14ac:dyDescent="0.25">
      <c r="A219" s="25" t="s">
        <v>316</v>
      </c>
    </row>
    <row r="221" spans="1:1" x14ac:dyDescent="0.25">
      <c r="A221" s="619" t="s">
        <v>499</v>
      </c>
    </row>
    <row r="222" spans="1:1" x14ac:dyDescent="0.25">
      <c r="A222" s="25" t="s">
        <v>313</v>
      </c>
    </row>
    <row r="223" spans="1:1" x14ac:dyDescent="0.25">
      <c r="A223" s="25" t="s">
        <v>908</v>
      </c>
    </row>
    <row r="225" spans="1:1" ht="21.75" customHeight="1" x14ac:dyDescent="0.25">
      <c r="A225" s="619" t="s">
        <v>500</v>
      </c>
    </row>
    <row r="226" spans="1:1" x14ac:dyDescent="0.25">
      <c r="A226" s="622" t="s">
        <v>283</v>
      </c>
    </row>
    <row r="227" spans="1:1" ht="16.5" customHeight="1" x14ac:dyDescent="0.25">
      <c r="A227" s="622" t="s">
        <v>284</v>
      </c>
    </row>
    <row r="228" spans="1:1" ht="31" x14ac:dyDescent="0.25">
      <c r="A228" s="622" t="s">
        <v>285</v>
      </c>
    </row>
    <row r="229" spans="1:1" x14ac:dyDescent="0.25">
      <c r="A229" s="25" t="s">
        <v>307</v>
      </c>
    </row>
    <row r="231" spans="1:1" x14ac:dyDescent="0.25">
      <c r="A231" s="561" t="s">
        <v>501</v>
      </c>
    </row>
    <row r="232" spans="1:1" x14ac:dyDescent="0.25">
      <c r="A232" s="623" t="s">
        <v>269</v>
      </c>
    </row>
    <row r="233" spans="1:1" x14ac:dyDescent="0.25">
      <c r="A233" s="25" t="s">
        <v>270</v>
      </c>
    </row>
    <row r="234" spans="1:1" x14ac:dyDescent="0.25">
      <c r="A234" s="25" t="s">
        <v>271</v>
      </c>
    </row>
    <row r="235" spans="1:1" ht="31" x14ac:dyDescent="0.25">
      <c r="A235" s="461" t="s">
        <v>272</v>
      </c>
    </row>
    <row r="236" spans="1:1" ht="16.5" customHeight="1" x14ac:dyDescent="0.25">
      <c r="A236" s="25" t="s">
        <v>273</v>
      </c>
    </row>
    <row r="237" spans="1:1" x14ac:dyDescent="0.25">
      <c r="A237" s="25" t="s">
        <v>274</v>
      </c>
    </row>
    <row r="238" spans="1:1" x14ac:dyDescent="0.25">
      <c r="A238" s="25" t="s">
        <v>275</v>
      </c>
    </row>
    <row r="239" spans="1:1" x14ac:dyDescent="0.25">
      <c r="A239" s="25" t="s">
        <v>276</v>
      </c>
    </row>
    <row r="240" spans="1:1" x14ac:dyDescent="0.25">
      <c r="A240" s="25" t="s">
        <v>909</v>
      </c>
    </row>
    <row r="242" spans="1:1" x14ac:dyDescent="0.25">
      <c r="A242" s="561" t="s">
        <v>910</v>
      </c>
    </row>
    <row r="243" spans="1:1" x14ac:dyDescent="0.25">
      <c r="A243" s="25" t="s">
        <v>911</v>
      </c>
    </row>
    <row r="244" spans="1:1" x14ac:dyDescent="0.25">
      <c r="A244" s="25" t="s">
        <v>912</v>
      </c>
    </row>
    <row r="245" spans="1:1" ht="31" x14ac:dyDescent="0.25">
      <c r="A245" s="25" t="s">
        <v>913</v>
      </c>
    </row>
    <row r="246" spans="1:1" x14ac:dyDescent="0.25">
      <c r="A246" s="25" t="s">
        <v>914</v>
      </c>
    </row>
    <row r="248" spans="1:1" x14ac:dyDescent="0.25">
      <c r="A248" s="561" t="s">
        <v>915</v>
      </c>
    </row>
    <row r="249" spans="1:1" x14ac:dyDescent="0.25">
      <c r="A249" s="25" t="s">
        <v>916</v>
      </c>
    </row>
    <row r="251" spans="1:1" x14ac:dyDescent="0.25">
      <c r="A251" s="561" t="s">
        <v>917</v>
      </c>
    </row>
    <row r="252" spans="1:1" x14ac:dyDescent="0.25">
      <c r="A252" s="25" t="s">
        <v>918</v>
      </c>
    </row>
    <row r="253" spans="1:1" ht="32.25" customHeight="1" x14ac:dyDescent="0.25"/>
    <row r="254" spans="1:1" ht="36" customHeight="1" x14ac:dyDescent="0.25">
      <c r="A254" s="561" t="s">
        <v>218</v>
      </c>
    </row>
    <row r="255" spans="1:1" ht="35.25" customHeight="1" x14ac:dyDescent="0.25">
      <c r="A255" s="25" t="s">
        <v>919</v>
      </c>
    </row>
    <row r="256" spans="1:1" ht="18" customHeight="1" x14ac:dyDescent="0.25">
      <c r="A256" s="25" t="s">
        <v>920</v>
      </c>
    </row>
    <row r="257" spans="1:1" ht="36" customHeight="1" x14ac:dyDescent="0.25">
      <c r="A257" s="25" t="s">
        <v>921</v>
      </c>
    </row>
    <row r="259" spans="1:1" ht="33.75" customHeight="1" x14ac:dyDescent="0.25">
      <c r="A259" s="561" t="s">
        <v>922</v>
      </c>
    </row>
    <row r="260" spans="1:1" ht="18.75" customHeight="1" x14ac:dyDescent="0.25">
      <c r="A260" s="25" t="s">
        <v>18</v>
      </c>
    </row>
    <row r="261" spans="1:1" ht="17.25" customHeight="1" x14ac:dyDescent="0.25">
      <c r="A261" s="25" t="s">
        <v>19</v>
      </c>
    </row>
    <row r="262" spans="1:1" ht="17.25" customHeight="1" x14ac:dyDescent="0.25">
      <c r="A262" s="25" t="s">
        <v>20</v>
      </c>
    </row>
    <row r="263" spans="1:1" x14ac:dyDescent="0.25">
      <c r="A263" s="25" t="s">
        <v>923</v>
      </c>
    </row>
    <row r="264" spans="1:1" x14ac:dyDescent="0.25">
      <c r="A264" s="25" t="s">
        <v>21</v>
      </c>
    </row>
    <row r="265" spans="1:1" x14ac:dyDescent="0.25">
      <c r="A265" s="25" t="s">
        <v>22</v>
      </c>
    </row>
    <row r="266" spans="1:1" ht="31" x14ac:dyDescent="0.25">
      <c r="A266" s="25" t="s">
        <v>25</v>
      </c>
    </row>
    <row r="267" spans="1:1" ht="31" x14ac:dyDescent="0.25">
      <c r="A267" s="25" t="s">
        <v>23</v>
      </c>
    </row>
    <row r="268" spans="1:1" ht="14.25" customHeight="1" x14ac:dyDescent="0.25">
      <c r="A268" s="25" t="s">
        <v>924</v>
      </c>
    </row>
    <row r="269" spans="1:1" x14ac:dyDescent="0.25">
      <c r="A269" s="25" t="s">
        <v>24</v>
      </c>
    </row>
    <row r="270" spans="1:1" ht="31" x14ac:dyDescent="0.25">
      <c r="A270" s="25" t="s">
        <v>214</v>
      </c>
    </row>
    <row r="271" spans="1:1" x14ac:dyDescent="0.25">
      <c r="A271" s="25" t="s">
        <v>215</v>
      </c>
    </row>
    <row r="272" spans="1:1" ht="31" x14ac:dyDescent="0.25">
      <c r="A272" s="25" t="s">
        <v>925</v>
      </c>
    </row>
    <row r="273" spans="1:1" x14ac:dyDescent="0.25">
      <c r="A273" s="25" t="s">
        <v>926</v>
      </c>
    </row>
    <row r="274" spans="1:1" x14ac:dyDescent="0.25">
      <c r="A274" s="25" t="s">
        <v>27</v>
      </c>
    </row>
    <row r="275" spans="1:1" x14ac:dyDescent="0.25">
      <c r="A275" s="25" t="s">
        <v>28</v>
      </c>
    </row>
    <row r="276" spans="1:1" x14ac:dyDescent="0.25">
      <c r="A276" s="25" t="s">
        <v>927</v>
      </c>
    </row>
    <row r="277" spans="1:1" ht="18" customHeight="1" x14ac:dyDescent="0.25">
      <c r="A277" s="25" t="s">
        <v>928</v>
      </c>
    </row>
    <row r="278" spans="1:1" ht="51" customHeight="1" x14ac:dyDescent="0.25">
      <c r="A278" s="25" t="s">
        <v>929</v>
      </c>
    </row>
    <row r="280" spans="1:1" x14ac:dyDescent="0.25">
      <c r="A280" s="561" t="s">
        <v>30</v>
      </c>
    </row>
    <row r="281" spans="1:1" x14ac:dyDescent="0.25">
      <c r="A281" s="25" t="s">
        <v>930</v>
      </c>
    </row>
    <row r="282" spans="1:1" x14ac:dyDescent="0.25">
      <c r="A282" s="25" t="s">
        <v>931</v>
      </c>
    </row>
    <row r="283" spans="1:1" x14ac:dyDescent="0.25">
      <c r="A283" s="25" t="s">
        <v>932</v>
      </c>
    </row>
    <row r="284" spans="1:1" x14ac:dyDescent="0.25">
      <c r="A284" s="25" t="s">
        <v>26</v>
      </c>
    </row>
    <row r="285" spans="1:1" x14ac:dyDescent="0.25">
      <c r="A285" s="561" t="s">
        <v>15</v>
      </c>
    </row>
    <row r="286" spans="1:1" ht="31" x14ac:dyDescent="0.25">
      <c r="A286" s="25" t="s">
        <v>933</v>
      </c>
    </row>
    <row r="287" spans="1:1" x14ac:dyDescent="0.25">
      <c r="A287" s="25" t="s">
        <v>934</v>
      </c>
    </row>
    <row r="290" spans="1:1" x14ac:dyDescent="0.25">
      <c r="A290" s="561" t="s">
        <v>194</v>
      </c>
    </row>
    <row r="291" spans="1:1" ht="46.5" x14ac:dyDescent="0.25">
      <c r="A291" s="25" t="s">
        <v>935</v>
      </c>
    </row>
    <row r="292" spans="1:1" x14ac:dyDescent="0.25">
      <c r="A292" s="25" t="s">
        <v>195</v>
      </c>
    </row>
    <row r="293" spans="1:1" x14ac:dyDescent="0.25">
      <c r="A293" s="25" t="s">
        <v>196</v>
      </c>
    </row>
    <row r="294" spans="1:1" x14ac:dyDescent="0.25">
      <c r="A294" s="25" t="s">
        <v>216</v>
      </c>
    </row>
    <row r="295" spans="1:1" x14ac:dyDescent="0.25">
      <c r="A295" s="25" t="s">
        <v>197</v>
      </c>
    </row>
    <row r="296" spans="1:1" x14ac:dyDescent="0.25">
      <c r="A296" s="25" t="s">
        <v>198</v>
      </c>
    </row>
    <row r="297" spans="1:1" x14ac:dyDescent="0.25">
      <c r="A297" s="25" t="s">
        <v>936</v>
      </c>
    </row>
    <row r="298" spans="1:1" x14ac:dyDescent="0.25">
      <c r="A298" s="25" t="s">
        <v>199</v>
      </c>
    </row>
    <row r="299" spans="1:1" x14ac:dyDescent="0.25">
      <c r="A299" s="25" t="s">
        <v>200</v>
      </c>
    </row>
    <row r="300" spans="1:1" ht="31" x14ac:dyDescent="0.25">
      <c r="A300" s="25" t="s">
        <v>201</v>
      </c>
    </row>
    <row r="301" spans="1:1" ht="31" x14ac:dyDescent="0.25">
      <c r="A301" s="25" t="s">
        <v>937</v>
      </c>
    </row>
    <row r="302" spans="1:1" x14ac:dyDescent="0.25">
      <c r="A302" s="25" t="s">
        <v>202</v>
      </c>
    </row>
    <row r="303" spans="1:1" x14ac:dyDescent="0.25">
      <c r="A303" s="25" t="s">
        <v>203</v>
      </c>
    </row>
    <row r="304" spans="1:1" x14ac:dyDescent="0.25">
      <c r="A304" s="25" t="s">
        <v>217</v>
      </c>
    </row>
    <row r="305" spans="1:1" x14ac:dyDescent="0.25">
      <c r="A305" s="25" t="s">
        <v>204</v>
      </c>
    </row>
    <row r="306" spans="1:1" x14ac:dyDescent="0.25">
      <c r="A306" s="25" t="s">
        <v>0</v>
      </c>
    </row>
    <row r="307" spans="1:1" ht="31" x14ac:dyDescent="0.25">
      <c r="A307" s="25" t="s">
        <v>1</v>
      </c>
    </row>
    <row r="308" spans="1:1" x14ac:dyDescent="0.25">
      <c r="A308" s="25" t="s">
        <v>207</v>
      </c>
    </row>
    <row r="309" spans="1:1" x14ac:dyDescent="0.25">
      <c r="A309" s="25" t="s">
        <v>208</v>
      </c>
    </row>
    <row r="310" spans="1:1" ht="31" x14ac:dyDescent="0.25">
      <c r="A310" s="25" t="s">
        <v>209</v>
      </c>
    </row>
    <row r="311" spans="1:1" x14ac:dyDescent="0.25">
      <c r="A311" s="25" t="s">
        <v>938</v>
      </c>
    </row>
    <row r="312" spans="1:1" x14ac:dyDescent="0.25">
      <c r="A312" s="25" t="s">
        <v>939</v>
      </c>
    </row>
    <row r="313" spans="1:1" ht="31" x14ac:dyDescent="0.25">
      <c r="A313" s="25" t="s">
        <v>940</v>
      </c>
    </row>
    <row r="314" spans="1:1" ht="19.5" customHeight="1" x14ac:dyDescent="0.25">
      <c r="A314" s="25" t="s">
        <v>941</v>
      </c>
    </row>
    <row r="315" spans="1:1" ht="18" customHeight="1" x14ac:dyDescent="0.25">
      <c r="A315" s="25" t="s">
        <v>942</v>
      </c>
    </row>
    <row r="316" spans="1:1" x14ac:dyDescent="0.25">
      <c r="A316" s="25" t="s">
        <v>943</v>
      </c>
    </row>
    <row r="317" spans="1:1" x14ac:dyDescent="0.25">
      <c r="A317" s="25" t="s">
        <v>944</v>
      </c>
    </row>
    <row r="318" spans="1:1" ht="31" x14ac:dyDescent="0.25">
      <c r="A318" s="25" t="s">
        <v>13</v>
      </c>
    </row>
    <row r="319" spans="1:1" x14ac:dyDescent="0.25">
      <c r="A319" s="25" t="s">
        <v>14</v>
      </c>
    </row>
    <row r="320" spans="1:1" ht="31" x14ac:dyDescent="0.25">
      <c r="A320" s="25" t="s">
        <v>945</v>
      </c>
    </row>
    <row r="321" spans="1:1" x14ac:dyDescent="0.25">
      <c r="A321" s="25" t="s">
        <v>946</v>
      </c>
    </row>
    <row r="323" spans="1:1" x14ac:dyDescent="0.25">
      <c r="A323" s="25" t="s">
        <v>947</v>
      </c>
    </row>
    <row r="324" spans="1:1" x14ac:dyDescent="0.25">
      <c r="A324" s="25" t="s">
        <v>948</v>
      </c>
    </row>
  </sheetData>
  <sheetProtection sheet="1" objects="1" scenarios="1"/>
  <pageMargins left="0.32" right="0.31"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DD571"/>
    <pageSetUpPr fitToPage="1"/>
  </sheetPr>
  <dimension ref="A1:I105"/>
  <sheetViews>
    <sheetView topLeftCell="A10" zoomScale="85" zoomScaleNormal="85" workbookViewId="0">
      <selection activeCell="O51" sqref="O51"/>
    </sheetView>
  </sheetViews>
  <sheetFormatPr defaultColWidth="8.9140625" defaultRowHeight="15.5" x14ac:dyDescent="0.25"/>
  <cols>
    <col min="1" max="1" width="24.33203125" style="26" customWidth="1"/>
    <col min="2" max="2" width="10.75" style="26" customWidth="1"/>
    <col min="3" max="3" width="5.75" style="26" customWidth="1"/>
    <col min="4" max="4" width="14" style="26" customWidth="1"/>
    <col min="5" max="5" width="13.33203125" style="26" customWidth="1"/>
    <col min="6" max="6" width="12.33203125" style="26" customWidth="1"/>
    <col min="7" max="7" width="12.83203125" style="64" bestFit="1" customWidth="1"/>
    <col min="8" max="16384" width="8.9140625" style="64"/>
  </cols>
  <sheetData>
    <row r="1" spans="1:7" x14ac:dyDescent="0.25">
      <c r="A1" s="28"/>
      <c r="B1" s="28"/>
      <c r="C1" s="27" t="s">
        <v>114</v>
      </c>
      <c r="D1" s="28"/>
      <c r="E1" s="28"/>
      <c r="F1" s="80"/>
      <c r="G1" s="24">
        <f>inputPrYr!C6</f>
        <v>2026</v>
      </c>
    </row>
    <row r="2" spans="1:7" x14ac:dyDescent="0.25">
      <c r="A2" s="714" t="str">
        <f>CONCATENATE("To the Clerk of ",(inputPrYr!D4),", State of Kansas")</f>
        <v>To the Clerk of Thomas County, State of Kansas</v>
      </c>
      <c r="B2" s="686"/>
      <c r="C2" s="686"/>
      <c r="D2" s="686"/>
      <c r="E2" s="686"/>
      <c r="F2" s="686"/>
    </row>
    <row r="3" spans="1:7" x14ac:dyDescent="0.25">
      <c r="A3" s="81" t="s">
        <v>317</v>
      </c>
      <c r="B3" s="33"/>
      <c r="C3" s="33"/>
      <c r="D3" s="33"/>
      <c r="E3" s="33"/>
      <c r="F3" s="33"/>
    </row>
    <row r="4" spans="1:7" ht="15" x14ac:dyDescent="0.25">
      <c r="A4" s="685" t="str">
        <f>(inputPrYr!D3)</f>
        <v>The City of Colby</v>
      </c>
      <c r="B4" s="713"/>
      <c r="C4" s="713"/>
      <c r="D4" s="713"/>
      <c r="E4" s="713"/>
      <c r="F4" s="713"/>
    </row>
    <row r="5" spans="1:7" x14ac:dyDescent="0.25">
      <c r="A5" s="81" t="s">
        <v>38</v>
      </c>
      <c r="B5" s="33"/>
      <c r="C5" s="33"/>
      <c r="D5" s="33"/>
      <c r="E5" s="33"/>
      <c r="F5" s="33"/>
    </row>
    <row r="6" spans="1:7" x14ac:dyDescent="0.25">
      <c r="A6" s="81" t="s">
        <v>39</v>
      </c>
      <c r="B6" s="33"/>
      <c r="C6" s="33"/>
      <c r="D6" s="33"/>
      <c r="E6" s="33"/>
      <c r="F6" s="33"/>
    </row>
    <row r="7" spans="1:7" x14ac:dyDescent="0.25">
      <c r="A7" s="81" t="str">
        <f>CONCATENATE("maximum expenditures for the various funds for the year ",G1,"; and")</f>
        <v>maximum expenditures for the various funds for the year 2026; and</v>
      </c>
      <c r="B7" s="33"/>
      <c r="C7" s="33"/>
      <c r="D7" s="33"/>
      <c r="E7" s="33"/>
      <c r="F7" s="33"/>
    </row>
    <row r="8" spans="1:7" x14ac:dyDescent="0.25">
      <c r="A8" s="81" t="str">
        <f>CONCATENATE("(3) the Amounts(s) of ",G1-1," Ad Valorem Tax are within statutory limitations.")</f>
        <v>(3) the Amounts(s) of 2025 Ad Valorem Tax are within statutory limitations.</v>
      </c>
      <c r="B8" s="33"/>
      <c r="C8" s="33"/>
      <c r="D8" s="33"/>
      <c r="E8" s="33"/>
      <c r="F8" s="33"/>
    </row>
    <row r="9" spans="1:7" x14ac:dyDescent="0.25">
      <c r="A9" s="28"/>
      <c r="B9" s="28"/>
      <c r="C9" s="28"/>
      <c r="D9" s="82" t="str">
        <f>CONCATENATE("",G1," Adopted Budget")</f>
        <v>2026 Adopted Budget</v>
      </c>
      <c r="E9" s="83"/>
      <c r="F9" s="84"/>
    </row>
    <row r="10" spans="1:7" ht="21" customHeight="1" x14ac:dyDescent="0.25">
      <c r="A10" s="28"/>
      <c r="B10" s="28"/>
      <c r="C10" s="85"/>
      <c r="D10" s="86" t="s">
        <v>40</v>
      </c>
      <c r="E10" s="87" t="str">
        <f>CONCATENATE("Amount of ",G1-1,"")</f>
        <v>Amount of 2025</v>
      </c>
      <c r="F10" s="723" t="s">
        <v>719</v>
      </c>
    </row>
    <row r="11" spans="1:7" x14ac:dyDescent="0.25">
      <c r="A11" s="29"/>
      <c r="B11" s="28"/>
      <c r="C11" s="87" t="s">
        <v>41</v>
      </c>
      <c r="D11" s="293" t="s">
        <v>5</v>
      </c>
      <c r="E11" s="89" t="s">
        <v>169</v>
      </c>
      <c r="F11" s="724"/>
    </row>
    <row r="12" spans="1:7" x14ac:dyDescent="0.25">
      <c r="A12" s="90" t="s">
        <v>42</v>
      </c>
      <c r="B12" s="43"/>
      <c r="C12" s="91" t="s">
        <v>43</v>
      </c>
      <c r="D12" s="294" t="s">
        <v>323</v>
      </c>
      <c r="E12" s="92" t="s">
        <v>170</v>
      </c>
      <c r="F12" s="725"/>
    </row>
    <row r="13" spans="1:7" x14ac:dyDescent="0.25">
      <c r="A13" s="93" t="s">
        <v>474</v>
      </c>
      <c r="B13" s="43"/>
      <c r="C13" s="91">
        <v>2</v>
      </c>
      <c r="D13" s="88"/>
      <c r="E13" s="88"/>
      <c r="F13" s="88"/>
    </row>
    <row r="14" spans="1:7" x14ac:dyDescent="0.25">
      <c r="A14" s="93" t="s">
        <v>137</v>
      </c>
      <c r="B14" s="43"/>
      <c r="C14" s="91">
        <v>3</v>
      </c>
      <c r="D14" s="88"/>
      <c r="E14" s="88"/>
      <c r="F14" s="88"/>
    </row>
    <row r="15" spans="1:7" x14ac:dyDescent="0.25">
      <c r="A15" s="93" t="s">
        <v>44</v>
      </c>
      <c r="B15" s="54"/>
      <c r="C15" s="94">
        <v>4</v>
      </c>
      <c r="D15" s="96"/>
      <c r="E15" s="96"/>
      <c r="F15" s="96"/>
    </row>
    <row r="16" spans="1:7" x14ac:dyDescent="0.25">
      <c r="A16" s="93" t="s">
        <v>45</v>
      </c>
      <c r="B16" s="54"/>
      <c r="C16" s="94">
        <v>5</v>
      </c>
      <c r="D16" s="96"/>
      <c r="E16" s="96"/>
      <c r="F16" s="96"/>
    </row>
    <row r="17" spans="1:9" x14ac:dyDescent="0.25">
      <c r="A17" s="191" t="str">
        <f>IF(inputPrYr!D20="","","Computation to Determine State Library Grant")</f>
        <v>Computation to Determine State Library Grant</v>
      </c>
      <c r="B17" s="54"/>
      <c r="C17" s="104">
        <f>IF(inputPrYr!D20="","",'Library Grant'!F38)</f>
        <v>6</v>
      </c>
      <c r="D17" s="96"/>
      <c r="E17" s="96"/>
      <c r="F17" s="96"/>
    </row>
    <row r="18" spans="1:9" ht="16" x14ac:dyDescent="0.25">
      <c r="A18" s="97" t="s">
        <v>46</v>
      </c>
      <c r="B18" s="98" t="s">
        <v>47</v>
      </c>
      <c r="C18" s="99"/>
      <c r="D18" s="100"/>
      <c r="E18" s="100"/>
      <c r="F18" s="100"/>
      <c r="G18" s="679" t="s">
        <v>1195</v>
      </c>
      <c r="H18" s="64" t="s">
        <v>1196</v>
      </c>
    </row>
    <row r="19" spans="1:9" ht="16" x14ac:dyDescent="0.25">
      <c r="A19" s="37" t="s">
        <v>33</v>
      </c>
      <c r="B19" s="101" t="str">
        <f>IF(inputPrYr!C18&gt;0,(inputPrYr!C18),"  ")</f>
        <v>12-101a</v>
      </c>
      <c r="C19" s="94">
        <f>General7a!C55</f>
        <v>7</v>
      </c>
      <c r="D19" s="447">
        <f>IF(General7a!$E$102&lt;&gt;0,General7a!$E$102,"  ")</f>
        <v>5363826</v>
      </c>
      <c r="E19" s="448">
        <f>IF(General7a!$E$109&lt;&gt;0,General7a!$E$109,0)</f>
        <v>862737.53000000026</v>
      </c>
      <c r="F19" s="449">
        <f>IF($F$58=0,"",ROUND(E19/$F$58*1000,3))</f>
        <v>13.228999999999999</v>
      </c>
      <c r="G19" s="680">
        <v>13.407999999999999</v>
      </c>
    </row>
    <row r="20" spans="1:9" ht="16" x14ac:dyDescent="0.25">
      <c r="A20" s="37" t="s">
        <v>16</v>
      </c>
      <c r="B20" s="101" t="str">
        <f>IF(inputPrYr!C19&gt;0,(inputPrYr!C19),"  ")</f>
        <v>10-113</v>
      </c>
      <c r="C20" s="94">
        <f>IF('DebtSvs-Library8'!C87&gt;0,'DebtSvs-Library8'!C87,"  ")</f>
        <v>8</v>
      </c>
      <c r="D20" s="447">
        <f>IF('DebtSvs-Library8'!E34&lt;&gt;0,'DebtSvs-Library8'!E34,"  ")</f>
        <v>1339423</v>
      </c>
      <c r="E20" s="448">
        <f>IF('DebtSvs-Library8'!E41&lt;&gt;0,'DebtSvs-Library8'!E41,0)</f>
        <v>0</v>
      </c>
      <c r="F20" s="449">
        <f>IF($F$58=0,"",ROUND(E20/$F$58*1000,3))</f>
        <v>0</v>
      </c>
      <c r="G20" s="681"/>
    </row>
    <row r="21" spans="1:9" ht="16" x14ac:dyDescent="0.25">
      <c r="A21" s="52" t="str">
        <f>IF(inputPrYr!$B20&gt;"  ",(inputPrYr!$B20),"  ")</f>
        <v>Library</v>
      </c>
      <c r="B21" s="101" t="str">
        <f>IF(inputPrYr!C20&gt;0,(inputPrYr!C20),"  ")</f>
        <v>12-1220</v>
      </c>
      <c r="C21" s="94">
        <f>IF('DebtSvs-Library8'!C87&gt;0,'DebtSvs-Library8'!C87,"  ")</f>
        <v>8</v>
      </c>
      <c r="D21" s="447">
        <f>IF('DebtSvs-Library8'!E74&lt;&gt;0,'DebtSvs-Library8'!E74,"  ")</f>
        <v>360989</v>
      </c>
      <c r="E21" s="448">
        <f>IF('DebtSvs-Library8'!E81&lt;&gt;0,'DebtSvs-Library8'!E81,0)</f>
        <v>336952</v>
      </c>
      <c r="F21" s="449">
        <f>IF($F$58=0,"",ROUND(E21/$F$58*1000,3))</f>
        <v>5.1669999999999998</v>
      </c>
      <c r="G21" s="681">
        <v>5.2370000000000001</v>
      </c>
      <c r="H21" s="357"/>
      <c r="I21" s="357"/>
    </row>
    <row r="22" spans="1:9" ht="16" x14ac:dyDescent="0.25">
      <c r="A22" s="52" t="str">
        <f>IF(inputPrYr!$B22&gt;"  ",(inputPrYr!$B22),"  ")</f>
        <v>Recreation</v>
      </c>
      <c r="B22" s="101" t="str">
        <f>IF(inputPrYr!C22&gt;0,(inputPrYr!C22),"  ")</f>
        <v>12-1929a</v>
      </c>
      <c r="C22" s="94">
        <f>IF('Rec-NoxWds9'!C86&gt;0,'Rec-NoxWds9'!C86,"  ")</f>
        <v>9</v>
      </c>
      <c r="D22" s="447">
        <f>IF('Rec-NoxWds9'!$E$33&gt;0,'Rec-NoxWds9'!$E$33,"  ")</f>
        <v>392048</v>
      </c>
      <c r="E22" s="448">
        <f>IF('Rec-NoxWds9'!E40&lt;&gt;0,'Rec-NoxWds9'!E40,0)</f>
        <v>195990</v>
      </c>
      <c r="F22" s="449">
        <f t="shared" ref="F22:F31" si="0">IF($F$58=0,"",ROUND(E22/$F$58*1000,3))</f>
        <v>3.0049999999999999</v>
      </c>
      <c r="G22" s="681">
        <v>3.0459999999999998</v>
      </c>
      <c r="H22" s="357"/>
      <c r="I22" s="357"/>
    </row>
    <row r="23" spans="1:9" ht="16" x14ac:dyDescent="0.25">
      <c r="A23" s="52" t="str">
        <f>IF(inputPrYr!$B23&gt;"  ",(inputPrYr!$B23),"  ")</f>
        <v>Noxious Weeds</v>
      </c>
      <c r="B23" s="101" t="str">
        <f>IF(inputPrYr!C23&gt;0,(inputPrYr!C23),"  ")</f>
        <v>2-1318</v>
      </c>
      <c r="C23" s="94">
        <f>IF('Rec-NoxWds9'!C86&gt;0,'Rec-NoxWds9'!C86,"  ")</f>
        <v>9</v>
      </c>
      <c r="D23" s="447">
        <f>IF('Rec-NoxWds9'!$E$73&gt;0,'Rec-NoxWds9'!$E$73,"  ")</f>
        <v>20000</v>
      </c>
      <c r="E23" s="448">
        <f>IF('Rec-NoxWds9'!E80&lt;&gt;0,'Rec-NoxWds9'!E80,0)</f>
        <v>15390</v>
      </c>
      <c r="F23" s="449">
        <f t="shared" si="0"/>
        <v>0.23599999999999999</v>
      </c>
      <c r="G23" s="681">
        <v>0.24</v>
      </c>
      <c r="H23" s="357"/>
      <c r="I23" s="357"/>
    </row>
    <row r="24" spans="1:9" ht="16" x14ac:dyDescent="0.25">
      <c r="A24" s="52" t="str">
        <f>IF(inputPrYr!$B24&gt;"  ",(inputPrYr!$B24),"  ")</f>
        <v>Special Fire/Police</v>
      </c>
      <c r="B24" s="101" t="str">
        <f>IF(inputPrYr!C24&gt;0,(inputPrYr!C24),"  ")</f>
        <v>12-110b</v>
      </c>
      <c r="C24" s="94">
        <f>IF('SpFire-SpLiab10'!C85&gt;0,'SpFire-SpLiab10'!C85,"  ")</f>
        <v>10</v>
      </c>
      <c r="D24" s="447">
        <f>IF('SpFire-SpLiab10'!$E$33&gt;0,'SpFire-SpLiab10'!$E$33,"  ")</f>
        <v>191200</v>
      </c>
      <c r="E24" s="448">
        <f>IF('SpFire-SpLiab10'!E40&lt;&gt;0,'SpFire-SpLiab10'!E40,0)</f>
        <v>129732</v>
      </c>
      <c r="F24" s="449">
        <f t="shared" si="0"/>
        <v>1.9890000000000001</v>
      </c>
      <c r="G24" s="681">
        <v>2.0169999999999999</v>
      </c>
      <c r="H24" s="357"/>
      <c r="I24" s="357"/>
    </row>
    <row r="25" spans="1:9" ht="16" x14ac:dyDescent="0.25">
      <c r="A25" s="52" t="str">
        <f>IF(inputPrYr!$B25&gt;"  ",(inputPrYr!$B25),"  ")</f>
        <v>Special Liability</v>
      </c>
      <c r="B25" s="101" t="str">
        <f>IF(inputPrYr!C25&gt;0,(inputPrYr!C25),"  ")</f>
        <v>75-6110</v>
      </c>
      <c r="C25" s="94">
        <f>IF('SpFire-SpLiab10'!C85&gt;0,'SpFire-SpLiab10'!C85,"  ")</f>
        <v>10</v>
      </c>
      <c r="D25" s="447">
        <f>IF('SpFire-SpLiab10'!$E$72&gt;0,'SpFire-SpLiab10'!$E$72,"  ")</f>
        <v>67919</v>
      </c>
      <c r="E25" s="448">
        <f>IF('SpFire-SpLiab10'!E79&lt;&gt;0,'SpFire-SpLiab10'!E79,0)</f>
        <v>46153</v>
      </c>
      <c r="F25" s="449">
        <f t="shared" si="0"/>
        <v>0.70799999999999996</v>
      </c>
      <c r="G25" s="681">
        <v>0.71799999999999997</v>
      </c>
      <c r="H25" s="357"/>
      <c r="I25" s="357"/>
    </row>
    <row r="26" spans="1:9" ht="16" x14ac:dyDescent="0.25">
      <c r="A26" s="52" t="str">
        <f>IF(inputPrYr!$B26&gt;"  ",(inputPrYr!$B26),"  ")</f>
        <v>Employee Benefits</v>
      </c>
      <c r="B26" s="101" t="str">
        <f>IF(inputPrYr!C26&gt;0,(inputPrYr!C26),"  ")</f>
        <v>12-16,102</v>
      </c>
      <c r="C26" s="94">
        <f>IF('EmBene-EcoDevo11'!C90&gt;0,'EmBene-EcoDevo11'!C90,"  ")</f>
        <v>11</v>
      </c>
      <c r="D26" s="447">
        <f>IF('EmBene-EcoDevo11'!$E$39&gt;0,'EmBene-EcoDevo11'!$E$39,"  ")</f>
        <v>2041751</v>
      </c>
      <c r="E26" s="448">
        <f>IF('EmBene-EcoDevo11'!E46&lt;&gt;0,'EmBene-EcoDevo11'!E46,0)</f>
        <v>580735</v>
      </c>
      <c r="F26" s="449">
        <f t="shared" si="0"/>
        <v>8.9049999999999994</v>
      </c>
      <c r="G26" s="681">
        <v>9.0250000000000004</v>
      </c>
      <c r="H26" s="357"/>
      <c r="I26" s="357"/>
    </row>
    <row r="27" spans="1:9" ht="16" x14ac:dyDescent="0.25">
      <c r="A27" s="52" t="str">
        <f>IF(inputPrYr!$B27&gt;"  ",(inputPrYr!$B27),"  ")</f>
        <v>Economic Development</v>
      </c>
      <c r="B27" s="101" t="str">
        <f>IF(inputPrYr!C27&gt;0,(inputPrYr!C27),"  ")</f>
        <v>12-1617h</v>
      </c>
      <c r="C27" s="94">
        <f>IF('EmBene-EcoDevo11'!C90&gt;0,'EmBene-EcoDevo11'!C90,"  ")</f>
        <v>11</v>
      </c>
      <c r="D27" s="447">
        <f>IF('EmBene-EcoDevo11'!$E$77&gt;0,'EmBene-EcoDevo11'!$E$77,"  ")</f>
        <v>2431861</v>
      </c>
      <c r="E27" s="448">
        <f>IF('EmBene-EcoDevo11'!E84&lt;&gt;0,'EmBene-EcoDevo11'!E84,0)</f>
        <v>79665</v>
      </c>
      <c r="F27" s="449">
        <f t="shared" si="0"/>
        <v>1.222</v>
      </c>
      <c r="G27" s="681">
        <v>1.2390000000000001</v>
      </c>
      <c r="H27" s="357"/>
      <c r="I27" s="357"/>
    </row>
    <row r="28" spans="1:9" ht="16" x14ac:dyDescent="0.25">
      <c r="A28" s="52" t="str">
        <f>IF(inputPrYr!$B28&gt;"  ",(inputPrYr!$B28),"  ")</f>
        <v xml:space="preserve">  </v>
      </c>
      <c r="B28" s="101" t="str">
        <f>IF(inputPrYr!C28&gt;0,(inputPrYr!C28),"  ")</f>
        <v xml:space="preserve">  </v>
      </c>
      <c r="C28" s="94" t="str">
        <f>IF('NU Levy'!C85&gt;0,'NU Levy'!C85,"  ")</f>
        <v xml:space="preserve">  </v>
      </c>
      <c r="D28" s="447" t="str">
        <f>IF('NU Levy'!$E$33&gt;0,'NU Levy'!$E$33,"  ")</f>
        <v xml:space="preserve">  </v>
      </c>
      <c r="E28" s="448">
        <f>IF('NU Levy'!E40&lt;&gt;0,'NU Levy'!E40,0)</f>
        <v>0</v>
      </c>
      <c r="F28" s="449">
        <f t="shared" si="0"/>
        <v>0</v>
      </c>
      <c r="G28" s="681"/>
      <c r="H28" s="357"/>
      <c r="I28" s="357"/>
    </row>
    <row r="29" spans="1:9" ht="16" x14ac:dyDescent="0.25">
      <c r="A29" s="52" t="str">
        <f>IF(inputPrYr!$B29&gt;"  ",(inputPrYr!$B29),"  ")</f>
        <v xml:space="preserve">  </v>
      </c>
      <c r="B29" s="101" t="str">
        <f>IF(inputPrYr!C29&gt;0,(inputPrYr!C29),"  ")</f>
        <v xml:space="preserve">  </v>
      </c>
      <c r="C29" s="94" t="str">
        <f>IF('NU Levy'!C85&gt;0,'NU Levy'!C85,"  ")</f>
        <v xml:space="preserve">  </v>
      </c>
      <c r="D29" s="447" t="str">
        <f>IF('NU Levy'!$E$72&gt;0,'NU Levy'!$E$72,"  ")</f>
        <v xml:space="preserve">  </v>
      </c>
      <c r="E29" s="448">
        <f>IF('NU Levy'!E79&lt;&gt;0,'NU Levy'!E79,0)</f>
        <v>0</v>
      </c>
      <c r="F29" s="449">
        <f t="shared" si="0"/>
        <v>0</v>
      </c>
      <c r="G29" s="681"/>
      <c r="H29" s="357"/>
      <c r="I29" s="357"/>
    </row>
    <row r="30" spans="1:9" ht="16" x14ac:dyDescent="0.25">
      <c r="A30" s="52" t="str">
        <f>IF(inputPrYr!$B30&gt;"  ",(inputPrYr!$B30),"  ")</f>
        <v xml:space="preserve">  </v>
      </c>
      <c r="B30" s="101" t="str">
        <f>IF(inputPrYr!C30&gt;0,(inputPrYr!C30),"  ")</f>
        <v xml:space="preserve">  </v>
      </c>
      <c r="C30" s="94" t="str">
        <f>IF('NU Lvy'!C86&gt;0,'NU Lvy'!C86,"  ")</f>
        <v xml:space="preserve">  </v>
      </c>
      <c r="D30" s="447" t="str">
        <f>IF('NU Lvy'!$E$33&gt;0,'NU Lvy'!$E$33,"  ")</f>
        <v xml:space="preserve">  </v>
      </c>
      <c r="E30" s="448">
        <f>IF('NU Lvy'!E40&lt;&gt;0,'NU Lvy'!E40,0)</f>
        <v>0</v>
      </c>
      <c r="F30" s="449">
        <f t="shared" si="0"/>
        <v>0</v>
      </c>
      <c r="G30" s="681"/>
      <c r="H30" s="357"/>
      <c r="I30" s="357"/>
    </row>
    <row r="31" spans="1:9" ht="16" x14ac:dyDescent="0.25">
      <c r="A31" s="52" t="str">
        <f>IF(inputPrYr!B31&gt;"  ",(inputPrYr!B31),"  ")</f>
        <v xml:space="preserve">  </v>
      </c>
      <c r="B31" s="101" t="str">
        <f>IF(inputPrYr!C31&gt;0,(inputPrYr!C31),"  ")</f>
        <v xml:space="preserve">  </v>
      </c>
      <c r="C31" s="94" t="str">
        <f>IF('NU Lvy'!C86&gt;0,'NU Lvy'!C86,"  ")</f>
        <v xml:space="preserve">  </v>
      </c>
      <c r="D31" s="447" t="str">
        <f>IF('NU Lvy'!$E$73&gt;0,'NU Lvy'!$E$73,"  ")</f>
        <v xml:space="preserve">  </v>
      </c>
      <c r="E31" s="448">
        <f>IF('NU Lvy'!E80&lt;&gt;0,'NU Lvy'!E80,0)</f>
        <v>0</v>
      </c>
      <c r="F31" s="449">
        <f t="shared" si="0"/>
        <v>0</v>
      </c>
      <c r="G31" s="681"/>
      <c r="H31" s="355"/>
    </row>
    <row r="32" spans="1:9" ht="16" x14ac:dyDescent="0.25">
      <c r="A32" s="102" t="str">
        <f>IF(inputPrYr!$B35&gt;"  ",(inputPrYr!$B35),"  ")</f>
        <v>Special Highway</v>
      </c>
      <c r="B32" s="103"/>
      <c r="C32" s="104">
        <f>IF(SpHwy_Elec12!C69&gt;0,SpHwy_Elec12!C69,"  ")</f>
        <v>12</v>
      </c>
      <c r="D32" s="447">
        <f>IF(SpHwy_Elec12!$E$26&gt;0,SpHwy_Elec12!$E$26,"  ")</f>
        <v>95000</v>
      </c>
      <c r="E32" s="447"/>
      <c r="F32" s="450"/>
      <c r="G32" s="681"/>
    </row>
    <row r="33" spans="1:7" ht="16" x14ac:dyDescent="0.25">
      <c r="A33" s="102" t="str">
        <f>IF(inputPrYr!$B36&gt;"  ",(inputPrYr!$B36),"  ")</f>
        <v>Electric Utility</v>
      </c>
      <c r="B33" s="103"/>
      <c r="C33" s="104">
        <f>IF(SpHwy_Elec12!C69&gt;0,SpHwy_Elec12!C69,"  ")</f>
        <v>12</v>
      </c>
      <c r="D33" s="447">
        <f>IF(SpHwy_Elec12!$E$61&gt;0,SpHwy_Elec12!$E$61,"  ")</f>
        <v>7796492</v>
      </c>
      <c r="E33" s="447"/>
      <c r="F33" s="450"/>
      <c r="G33" s="681"/>
    </row>
    <row r="34" spans="1:7" ht="16" x14ac:dyDescent="0.25">
      <c r="A34" s="102" t="str">
        <f>IF(inputPrYr!$B37&gt;"  ",(inputPrYr!$B37),"  ")</f>
        <v>Water Utility</v>
      </c>
      <c r="B34" s="103"/>
      <c r="C34" s="104">
        <f>IF(Watr_Sewr13!C72&gt;0,Watr_Sewr13!C72,"  ")</f>
        <v>13</v>
      </c>
      <c r="D34" s="447">
        <f>IF(Watr_Sewr13!$E$31&gt;0,Watr_Sewr13!$E$31,"  ")</f>
        <v>1972280.24</v>
      </c>
      <c r="E34" s="447"/>
      <c r="F34" s="450"/>
      <c r="G34" s="681"/>
    </row>
    <row r="35" spans="1:7" ht="16" x14ac:dyDescent="0.25">
      <c r="A35" s="102" t="str">
        <f>IF(inputPrYr!$B38&gt;"  ",(inputPrYr!$B38),"  ")</f>
        <v>Sewage Disposal Utility</v>
      </c>
      <c r="B35" s="103"/>
      <c r="C35" s="104">
        <f>IF(Watr_Sewr13!C72&gt;0, Watr_Sewr13!C72, " ")</f>
        <v>13</v>
      </c>
      <c r="D35" s="447">
        <f>IF(Watr_Sewr13!$E$64&gt;0,Watr_Sewr13!$E$64,"  ")</f>
        <v>1702380</v>
      </c>
      <c r="E35" s="447"/>
      <c r="F35" s="450"/>
      <c r="G35" s="681"/>
    </row>
    <row r="36" spans="1:7" ht="16" x14ac:dyDescent="0.25">
      <c r="A36" s="102" t="str">
        <f>IF(inputPrYr!$B39&gt;"  ",(inputPrYr!$B39),"  ")</f>
        <v>Solid Waste Disposal Utility</v>
      </c>
      <c r="B36" s="103"/>
      <c r="C36" s="104">
        <f>IF(Trash_CVB14!C68&gt;0, Trash_CVB14!C68, " ")</f>
        <v>14</v>
      </c>
      <c r="D36" s="447">
        <f>IF(Trash_CVB14!$E$29&gt;0,Trash_CVB14!$E$29,"  ")</f>
        <v>945458</v>
      </c>
      <c r="E36" s="447"/>
      <c r="F36" s="450"/>
      <c r="G36" s="681"/>
    </row>
    <row r="37" spans="1:7" ht="16" x14ac:dyDescent="0.25">
      <c r="A37" s="102" t="str">
        <f>IF(inputPrYr!$B40&gt;"  ",(inputPrYr!$B40),"  ")</f>
        <v>Convention/Tourism</v>
      </c>
      <c r="B37" s="105"/>
      <c r="C37" s="104">
        <f>IF(Trash_CVB14!C68&gt;0, Trash_CVB14!C68, " ")</f>
        <v>14</v>
      </c>
      <c r="D37" s="447">
        <f>IF(Trash_CVB14!$E$60&gt;0,Trash_CVB14!$E$60,"  ")</f>
        <v>400000</v>
      </c>
      <c r="E37" s="447"/>
      <c r="F37" s="450"/>
      <c r="G37" s="681"/>
    </row>
    <row r="38" spans="1:7" ht="16" x14ac:dyDescent="0.25">
      <c r="A38" s="102" t="str">
        <f>IF(inputPrYr!$B41&gt;"  ",(inputPrYr!$B41),"  ")</f>
        <v>Law Enforcement Trust</v>
      </c>
      <c r="B38" s="106"/>
      <c r="C38" s="104">
        <f>IF(SpLET_SpParks15!C63&gt;0,SpLET_SpParks15!C63,"  ")</f>
        <v>15</v>
      </c>
      <c r="D38" s="447">
        <f>IF(SpLET_SpParks15!$E$26&gt;0,SpLET_SpParks15!$E$26,"  ")</f>
        <v>150770</v>
      </c>
      <c r="E38" s="447"/>
      <c r="F38" s="450"/>
      <c r="G38" s="681"/>
    </row>
    <row r="39" spans="1:7" ht="16" x14ac:dyDescent="0.25">
      <c r="A39" s="102" t="str">
        <f>IF(inputPrYr!$B42&gt;"  ",(inputPrYr!$B42),"  ")</f>
        <v>Special Parks/Recreation</v>
      </c>
      <c r="B39" s="106"/>
      <c r="C39" s="104">
        <f>IF(SpLET_SpParks15!C63&gt;0,SpLET_SpParks15!C63,"  ")</f>
        <v>15</v>
      </c>
      <c r="D39" s="447">
        <f>IF(SpLET_SpParks15!$E$55&gt;0,SpLET_SpParks15!$E$55,"  ")</f>
        <v>109000</v>
      </c>
      <c r="E39" s="447"/>
      <c r="F39" s="450"/>
      <c r="G39" s="681"/>
    </row>
    <row r="40" spans="1:7" ht="16" x14ac:dyDescent="0.25">
      <c r="A40" s="102" t="str">
        <f>IF(inputPrYr!$B43&gt;"  ",(inputPrYr!$B43),"  ")</f>
        <v>E911</v>
      </c>
      <c r="B40" s="103"/>
      <c r="C40" s="104">
        <f>IF('E911_Land Bank16'!C64&gt;0,'E911_Land Bank16'!C64,"  ")</f>
        <v>16</v>
      </c>
      <c r="D40" s="447">
        <f>IF('E911_Land Bank16'!$E$25&gt;0,'E911_Land Bank16'!$E$25,"  ")</f>
        <v>94866</v>
      </c>
      <c r="E40" s="447"/>
      <c r="F40" s="450"/>
      <c r="G40" s="681"/>
    </row>
    <row r="41" spans="1:7" ht="16" x14ac:dyDescent="0.25">
      <c r="A41" s="102" t="str">
        <f>IF(inputPrYr!$B44&gt;"  ",(inputPrYr!$B44),"  ")</f>
        <v>Colby Land Bank</v>
      </c>
      <c r="B41" s="103"/>
      <c r="C41" s="104">
        <f>IF('E911_Land Bank16'!C64&gt;0,'E911_Land Bank16'!C64,"  ")</f>
        <v>16</v>
      </c>
      <c r="D41" s="447">
        <f>IF('E911_Land Bank16'!$E$56&gt;0,'E911_Land Bank16'!$E$56,"  ")</f>
        <v>100000</v>
      </c>
      <c r="E41" s="447"/>
      <c r="F41" s="450"/>
      <c r="G41" s="681"/>
    </row>
    <row r="42" spans="1:7" ht="16" x14ac:dyDescent="0.25">
      <c r="A42" s="102" t="str">
        <f>IF(inputPrYr!$B45&gt;"  ",(inputPrYr!$B45),"  ")</f>
        <v xml:space="preserve">  </v>
      </c>
      <c r="B42" s="103"/>
      <c r="C42" s="104" t="str">
        <f>IF('NUNo Levy Pg'!C63&gt;0,'NUNo Levy Pg'!C63,"  ")</f>
        <v xml:space="preserve">  </v>
      </c>
      <c r="D42" s="447" t="str">
        <f>IF('NUNo Levy Pg'!$E$26&gt;0,'NUNo Levy Pg'!$E$26,"  ")</f>
        <v xml:space="preserve">  </v>
      </c>
      <c r="E42" s="447"/>
      <c r="F42" s="450"/>
      <c r="G42" s="681"/>
    </row>
    <row r="43" spans="1:7" ht="16" x14ac:dyDescent="0.25">
      <c r="A43" s="102" t="str">
        <f>IF(inputPrYr!$B46&gt;"  ",(inputPrYr!$B46),"  ")</f>
        <v xml:space="preserve">  </v>
      </c>
      <c r="B43" s="103"/>
      <c r="C43" s="104" t="str">
        <f>IF('NUNo Levy Pg'!C63&gt;0,'NUNo Levy Pg'!C63,"  ")</f>
        <v xml:space="preserve">  </v>
      </c>
      <c r="D43" s="447" t="str">
        <f>IF('NUNo Levy Pg'!$E$55&gt;0,'NUNo Levy Pg'!$E$55,"  ")</f>
        <v xml:space="preserve">  </v>
      </c>
      <c r="E43" s="447"/>
      <c r="F43" s="450"/>
      <c r="G43" s="681"/>
    </row>
    <row r="44" spans="1:7" ht="16" x14ac:dyDescent="0.25">
      <c r="A44" s="102" t="str">
        <f>IF(inputPrYr!$B47&gt;"  ",(inputPrYr!$B47),"  ")</f>
        <v xml:space="preserve">  </v>
      </c>
      <c r="B44" s="103"/>
      <c r="C44" s="104" t="str">
        <f>IF('NUNo Levy Pag'!C63&gt;0,'NUNo Levy Pag'!C63,"  ")</f>
        <v xml:space="preserve">  </v>
      </c>
      <c r="D44" s="447" t="str">
        <f>IF('NUNo Levy Pag'!$E$26&gt;0,'NUNo Levy Pag'!$E$26,"  ")</f>
        <v xml:space="preserve">  </v>
      </c>
      <c r="E44" s="447"/>
      <c r="F44" s="450"/>
      <c r="G44" s="681"/>
    </row>
    <row r="45" spans="1:7" ht="16" x14ac:dyDescent="0.25">
      <c r="A45" s="102" t="str">
        <f>IF(inputPrYr!$B48&gt;"  ",(inputPrYr!$B48),"  ")</f>
        <v xml:space="preserve">  </v>
      </c>
      <c r="B45" s="103"/>
      <c r="C45" s="104" t="str">
        <f>IF('NUNo Levy Pag'!C63&gt;0,'NUNo Levy Pag'!C63,"  ")</f>
        <v xml:space="preserve">  </v>
      </c>
      <c r="D45" s="447" t="str">
        <f>IF('NUNo Levy Pag'!$E$55&gt;0,'NUNo Levy Pag'!$E$55,"  ")</f>
        <v xml:space="preserve">  </v>
      </c>
      <c r="E45" s="447"/>
      <c r="F45" s="450"/>
      <c r="G45" s="681"/>
    </row>
    <row r="46" spans="1:7" ht="16" x14ac:dyDescent="0.25">
      <c r="A46" s="102" t="str">
        <f>IF(inputPrYr!$B49&gt;"  ",(inputPrYr!$B49),"  ")</f>
        <v xml:space="preserve">  </v>
      </c>
      <c r="B46" s="105"/>
      <c r="C46" s="104" t="str">
        <f>IF('NUNo Levy Pag'!C63&gt;0,'NUNo Levy Page'!C63,"  ")</f>
        <v xml:space="preserve">  </v>
      </c>
      <c r="D46" s="447" t="str">
        <f>IF('NUNo Levy Page'!$E$26&gt;0,'NUNo Levy Page'!$E$26,"  ")</f>
        <v xml:space="preserve">  </v>
      </c>
      <c r="E46" s="447"/>
      <c r="F46" s="450"/>
      <c r="G46" s="681"/>
    </row>
    <row r="47" spans="1:7" ht="16" x14ac:dyDescent="0.25">
      <c r="A47" s="102" t="str">
        <f>IF(inputPrYr!$B50&gt;"  ",(inputPrYr!$B50),"  ")</f>
        <v xml:space="preserve">  </v>
      </c>
      <c r="B47" s="106"/>
      <c r="C47" s="104" t="str">
        <f>IF('NUNo Levy Page'!C63&gt;0,'NUNo Levy Page'!C63,"  ")</f>
        <v xml:space="preserve">  </v>
      </c>
      <c r="D47" s="447" t="str">
        <f>IF('NUNo Levy Page'!$E$55&gt;0,'NUNo Levy Page'!$E$55,"  ")</f>
        <v xml:space="preserve">  </v>
      </c>
      <c r="E47" s="447"/>
      <c r="F47" s="450"/>
      <c r="G47" s="681"/>
    </row>
    <row r="48" spans="1:7" ht="16" x14ac:dyDescent="0.25">
      <c r="A48" s="102" t="str">
        <f>IF(inputPrYr!$B52&gt;"  ",(inputPrYr!$B52),"  ")</f>
        <v xml:space="preserve">  </v>
      </c>
      <c r="B48" s="103"/>
      <c r="C48" s="104" t="str">
        <f>IF('NUSingle No Levy'!C52&gt;0,'NUSingle No Levy'!C52,"  ")</f>
        <v xml:space="preserve">  </v>
      </c>
      <c r="D48" s="447" t="str">
        <f>IF('NUSingle No Levy'!$E$44&gt;0,'NUSingle No Levy'!$E$44,"  ")</f>
        <v xml:space="preserve">  </v>
      </c>
      <c r="E48" s="447"/>
      <c r="F48" s="450"/>
      <c r="G48" s="681"/>
    </row>
    <row r="49" spans="1:7" ht="16" x14ac:dyDescent="0.25">
      <c r="A49" s="102" t="str">
        <f>IF(inputPrYr!$B53&gt;"  ",(inputPrYr!$B53),"  ")</f>
        <v xml:space="preserve">  </v>
      </c>
      <c r="B49" s="103"/>
      <c r="C49" s="104" t="str">
        <f>IF('NUSingle NoLevy'!C52&gt;0,'NUSingle NoLevy'!C52,"  ")</f>
        <v xml:space="preserve">  </v>
      </c>
      <c r="D49" s="447" t="str">
        <f>IF('NUSingle NoLevy'!$E$44&gt;0,'NUSingle NoLevy'!$E$44,"  ")</f>
        <v xml:space="preserve">  </v>
      </c>
      <c r="E49" s="447"/>
      <c r="F49" s="450"/>
      <c r="G49" s="681"/>
    </row>
    <row r="50" spans="1:7" ht="16" x14ac:dyDescent="0.25">
      <c r="A50" s="102" t="str">
        <f>IF(inputPrYr!$B54&gt;"  ",(inputPrYr!$B54),"  ")</f>
        <v xml:space="preserve">  </v>
      </c>
      <c r="B50" s="105"/>
      <c r="C50" s="104" t="str">
        <f>IF('NUSingle NoLvy'!C52&gt;0,'NUSingle NoLvy'!C52,"  ")</f>
        <v xml:space="preserve">  </v>
      </c>
      <c r="D50" s="447" t="str">
        <f>IF('NUSingle NoLvy'!$E$44&gt;0,'NUSingle NoLvy'!$E$44,"  ")</f>
        <v xml:space="preserve">  </v>
      </c>
      <c r="E50" s="447"/>
      <c r="F50" s="450"/>
      <c r="G50" s="681"/>
    </row>
    <row r="51" spans="1:7" ht="16" x14ac:dyDescent="0.25">
      <c r="A51" s="102" t="str">
        <f>IF(inputPrYr!$B55&gt;"  ",(inputPrYr!$B55),"  ")</f>
        <v xml:space="preserve">  </v>
      </c>
      <c r="B51" s="106"/>
      <c r="C51" s="104" t="str">
        <f>IF('NUSingle NLevy'!C52&gt;0,'NUSingle NLevy'!C52,"  ")</f>
        <v xml:space="preserve">  </v>
      </c>
      <c r="D51" s="447" t="str">
        <f>IF('NUSingle NLevy'!$E$44&gt;0,'NUSingle NLevy'!$E$44,"  ")</f>
        <v xml:space="preserve">  </v>
      </c>
      <c r="E51" s="447"/>
      <c r="F51" s="450"/>
      <c r="G51" s="681"/>
    </row>
    <row r="52" spans="1:7" ht="16" x14ac:dyDescent="0.25">
      <c r="A52" s="102" t="str">
        <f>IF(inputPrYr!$B58&gt;"  ",(CIRF_MERF_FP_GWTP_GP17!$A3),"  ")</f>
        <v>Non-Budgeted Funds-A</v>
      </c>
      <c r="B52" s="106"/>
      <c r="C52" s="104">
        <f>IF(CIRF_MERF_FP_GWTP_GP17!F38&gt;0,CIRF_MERF_FP_GWTP_GP17!F38,"  ")</f>
        <v>17</v>
      </c>
      <c r="D52" s="447"/>
      <c r="E52" s="447"/>
      <c r="F52" s="450"/>
      <c r="G52" s="681"/>
    </row>
    <row r="53" spans="1:7" ht="16" x14ac:dyDescent="0.25">
      <c r="A53" s="102" t="str">
        <f>IF(inputPrYr!$B64&gt;"  ",(RiskMgmt18!$A3),"  ")</f>
        <v>Non-Budgeted Funds-B</v>
      </c>
      <c r="B53" s="106"/>
      <c r="C53" s="104">
        <f>IF(RiskMgmt18!F37&gt;0,RiskMgmt18!F37,"  ")</f>
        <v>18</v>
      </c>
      <c r="D53" s="447"/>
      <c r="E53" s="447"/>
      <c r="F53" s="450"/>
      <c r="G53" s="681"/>
    </row>
    <row r="54" spans="1:7" ht="16" x14ac:dyDescent="0.25">
      <c r="A54" s="102" t="str">
        <f>IF(inputPrYr!$B70&gt;"  ",('NUNon-Budgeted Funds C'!$A3),"  ")</f>
        <v xml:space="preserve">  </v>
      </c>
      <c r="B54" s="103"/>
      <c r="C54" s="104" t="str">
        <f>IF('NUNon-Budgeted Funds C'!F37&gt;0,'NUNon-Budgeted Funds C'!F37,"  ")</f>
        <v xml:space="preserve">  </v>
      </c>
      <c r="D54" s="447"/>
      <c r="E54" s="447"/>
      <c r="F54" s="450"/>
      <c r="G54" s="681"/>
    </row>
    <row r="55" spans="1:7" ht="16.5" thickBot="1" x14ac:dyDescent="0.3">
      <c r="A55" s="102" t="str">
        <f>IF(inputPrYr!$B76&gt;"  ",('NUNon-Budgeted Funds D'!$A3),"  ")</f>
        <v xml:space="preserve">  </v>
      </c>
      <c r="B55" s="105"/>
      <c r="C55" s="104" t="str">
        <f>IF('NUNon-Budgeted Funds D'!F38&gt;0,'NUNon-Budgeted Funds D'!F38,"  ")</f>
        <v xml:space="preserve">  </v>
      </c>
      <c r="D55" s="596"/>
      <c r="E55" s="596"/>
      <c r="F55" s="597"/>
      <c r="G55" s="681"/>
    </row>
    <row r="56" spans="1:7" ht="16" x14ac:dyDescent="0.25">
      <c r="A56" s="277" t="s">
        <v>349</v>
      </c>
      <c r="B56" s="54"/>
      <c r="C56" s="169" t="s">
        <v>49</v>
      </c>
      <c r="D56" s="598">
        <f>SUM(D19:D55)</f>
        <v>25575263.239999998</v>
      </c>
      <c r="E56" s="598">
        <f>SUM(E19:E55)</f>
        <v>2247354.5300000003</v>
      </c>
      <c r="F56" s="599">
        <f>IF(SUM(F19:F31)=0,"",SUM(F19:F31))</f>
        <v>34.460999999999999</v>
      </c>
      <c r="G56" s="682">
        <f>SUM(G19:G27)</f>
        <v>34.929999999999993</v>
      </c>
    </row>
    <row r="57" spans="1:7" x14ac:dyDescent="0.25">
      <c r="A57" s="721" t="s">
        <v>683</v>
      </c>
      <c r="B57" s="722"/>
      <c r="C57" s="94">
        <f>IF('Budget Hearing Notice'!D72&gt;0, 'Budget Hearing Notice'!D72, " ")</f>
        <v>19</v>
      </c>
      <c r="D57" s="571"/>
      <c r="E57" s="572"/>
      <c r="F57" s="292" t="s">
        <v>141</v>
      </c>
    </row>
    <row r="58" spans="1:7" x14ac:dyDescent="0.25">
      <c r="A58" s="721" t="s">
        <v>684</v>
      </c>
      <c r="B58" s="722"/>
      <c r="C58" s="94">
        <f>IF('CombRate-Bud Hearing Notice19'!D72&gt;0, 'CombRate-Bud Hearing Notice19'!D72, " ")</f>
        <v>19</v>
      </c>
      <c r="D58" s="573"/>
      <c r="E58" s="573"/>
      <c r="F58" s="719">
        <v>65214905</v>
      </c>
    </row>
    <row r="59" spans="1:7" x14ac:dyDescent="0.25">
      <c r="A59" s="721" t="s">
        <v>685</v>
      </c>
      <c r="B59" s="722"/>
      <c r="C59" s="94" t="str">
        <f>IF('NURNR Hearing Notice'!E17&gt;0, 'NURNR Hearing Notice'!E17, " ")</f>
        <v xml:space="preserve"> </v>
      </c>
      <c r="D59" s="28"/>
      <c r="E59" s="28"/>
      <c r="F59" s="720"/>
    </row>
    <row r="60" spans="1:7" x14ac:dyDescent="0.25">
      <c r="A60" s="721" t="s">
        <v>157</v>
      </c>
      <c r="B60" s="722"/>
      <c r="C60" s="94">
        <f>IF('NR Rebate20'!C39&gt;0, 'NR Rebate20'!C39, " ")</f>
        <v>20</v>
      </c>
      <c r="D60" s="28"/>
      <c r="E60" s="28"/>
      <c r="F60" s="717" t="str">
        <f>CONCATENATE("Nov 1, ",G1-1," Total Assessed Valuation")</f>
        <v>Nov 1, 2025 Total Assessed Valuation</v>
      </c>
    </row>
    <row r="61" spans="1:7" x14ac:dyDescent="0.25">
      <c r="A61" s="29"/>
      <c r="B61" s="28"/>
      <c r="C61" s="28"/>
      <c r="D61" s="28"/>
      <c r="E61" s="28"/>
      <c r="F61" s="718"/>
    </row>
    <row r="62" spans="1:7" x14ac:dyDescent="0.25">
      <c r="A62" s="29"/>
      <c r="B62" s="28"/>
      <c r="C62" s="28"/>
      <c r="D62" s="28"/>
      <c r="E62" s="28"/>
      <c r="F62" s="28"/>
    </row>
    <row r="63" spans="1:7" x14ac:dyDescent="0.25">
      <c r="A63" s="29"/>
      <c r="B63" s="28"/>
      <c r="C63" s="28"/>
      <c r="D63" s="726" t="s">
        <v>720</v>
      </c>
      <c r="E63" s="727"/>
      <c r="F63" s="590">
        <f>inputOth!D20</f>
        <v>33.582999999999998</v>
      </c>
    </row>
    <row r="64" spans="1:7" x14ac:dyDescent="0.25">
      <c r="A64" s="728" t="s">
        <v>960</v>
      </c>
      <c r="B64" s="729"/>
      <c r="C64" s="729"/>
      <c r="D64" s="729"/>
      <c r="E64" s="729"/>
      <c r="F64" s="590" t="str">
        <f>IF('Budget Hearing Notice'!H52&gt;'Budget Hearing Notice'!H53, "YES", "NO")</f>
        <v>YES</v>
      </c>
    </row>
    <row r="65" spans="1:6" x14ac:dyDescent="0.25">
      <c r="A65" s="29"/>
      <c r="B65" s="28"/>
      <c r="C65" s="28"/>
      <c r="D65" s="28"/>
      <c r="E65" s="28"/>
      <c r="F65" s="28"/>
    </row>
    <row r="66" spans="1:6" x14ac:dyDescent="0.25">
      <c r="A66" s="42" t="s">
        <v>50</v>
      </c>
      <c r="B66" s="28"/>
      <c r="C66" s="28"/>
      <c r="D66" s="28"/>
      <c r="E66" s="28"/>
      <c r="F66" s="28"/>
    </row>
    <row r="67" spans="1:6" x14ac:dyDescent="0.25">
      <c r="A67" s="545"/>
      <c r="B67" s="28"/>
      <c r="C67" s="28"/>
      <c r="D67" s="194"/>
      <c r="E67" s="28"/>
      <c r="F67" s="28"/>
    </row>
    <row r="68" spans="1:6" ht="16" thickBot="1" x14ac:dyDescent="0.3">
      <c r="A68" s="546"/>
      <c r="B68" s="28"/>
      <c r="C68" s="644"/>
      <c r="D68" s="645"/>
      <c r="E68" s="646"/>
      <c r="F68" s="646"/>
    </row>
    <row r="69" spans="1:6" x14ac:dyDescent="0.25">
      <c r="A69" s="65" t="s">
        <v>144</v>
      </c>
      <c r="B69" s="28"/>
      <c r="C69" s="730" t="s">
        <v>1004</v>
      </c>
      <c r="D69" s="730"/>
      <c r="E69" s="730"/>
      <c r="F69" s="730"/>
    </row>
    <row r="70" spans="1:6" x14ac:dyDescent="0.25">
      <c r="A70" s="545"/>
      <c r="B70" s="28"/>
      <c r="C70" s="28"/>
      <c r="D70" s="194"/>
      <c r="E70" s="194"/>
      <c r="F70" s="194"/>
    </row>
    <row r="71" spans="1:6" ht="16" thickBot="1" x14ac:dyDescent="0.3">
      <c r="A71" s="546"/>
      <c r="B71" s="107"/>
      <c r="C71" s="646"/>
      <c r="D71" s="646"/>
      <c r="E71" s="647"/>
      <c r="F71" s="647"/>
    </row>
    <row r="72" spans="1:6" x14ac:dyDescent="0.25">
      <c r="A72" s="385" t="s">
        <v>473</v>
      </c>
      <c r="B72" s="107"/>
      <c r="C72" s="731" t="s">
        <v>1005</v>
      </c>
      <c r="D72" s="731"/>
      <c r="E72" s="731"/>
      <c r="F72" s="731"/>
    </row>
    <row r="73" spans="1:6" x14ac:dyDescent="0.25">
      <c r="A73" s="546"/>
      <c r="B73" s="80"/>
      <c r="C73" s="28"/>
      <c r="D73" s="28"/>
      <c r="E73" s="57"/>
      <c r="F73" s="57"/>
    </row>
    <row r="74" spans="1:6" ht="16" thickBot="1" x14ac:dyDescent="0.3">
      <c r="A74" s="30" t="s">
        <v>3</v>
      </c>
      <c r="B74" s="108">
        <f>G1-1</f>
        <v>2025</v>
      </c>
      <c r="C74" s="646"/>
      <c r="D74" s="646"/>
      <c r="E74" s="648"/>
      <c r="F74" s="648"/>
    </row>
    <row r="75" spans="1:6" x14ac:dyDescent="0.25">
      <c r="A75" s="194"/>
      <c r="B75" s="108"/>
      <c r="C75" s="731" t="s">
        <v>1006</v>
      </c>
      <c r="D75" s="731"/>
      <c r="E75" s="731"/>
      <c r="F75" s="731"/>
    </row>
    <row r="76" spans="1:6" x14ac:dyDescent="0.25">
      <c r="A76" s="544"/>
      <c r="B76" s="28"/>
      <c r="C76" s="28"/>
      <c r="D76" s="28"/>
      <c r="E76" s="28"/>
      <c r="F76" s="28"/>
    </row>
    <row r="77" spans="1:6" x14ac:dyDescent="0.25">
      <c r="A77" s="440" t="s">
        <v>1192</v>
      </c>
      <c r="B77" s="28"/>
      <c r="C77" s="715"/>
      <c r="D77" s="716"/>
      <c r="E77" s="716"/>
      <c r="F77" s="716"/>
    </row>
    <row r="78" spans="1:6" x14ac:dyDescent="0.25">
      <c r="A78" s="544"/>
      <c r="B78" s="28"/>
      <c r="C78" s="28"/>
      <c r="D78" s="28"/>
      <c r="E78" s="28"/>
      <c r="F78" s="28"/>
    </row>
    <row r="79" spans="1:6" x14ac:dyDescent="0.25">
      <c r="A79" s="539" t="s">
        <v>535</v>
      </c>
      <c r="B79" s="69"/>
      <c r="C79" s="69"/>
      <c r="D79" s="69"/>
      <c r="E79" s="69"/>
      <c r="F79" s="512"/>
    </row>
    <row r="80" spans="1:6" x14ac:dyDescent="0.25">
      <c r="A80" s="513"/>
      <c r="B80" s="28"/>
      <c r="C80" s="28"/>
      <c r="D80" s="28"/>
      <c r="E80" s="28"/>
      <c r="F80" s="405"/>
    </row>
    <row r="81" spans="1:6" x14ac:dyDescent="0.25">
      <c r="A81" s="514"/>
      <c r="B81" s="43"/>
      <c r="C81" s="43"/>
      <c r="D81" s="43"/>
      <c r="E81" s="43"/>
      <c r="F81" s="49"/>
    </row>
    <row r="87" spans="1:6" ht="12.5" x14ac:dyDescent="0.25">
      <c r="A87" s="64"/>
      <c r="B87" s="64"/>
      <c r="C87" s="64"/>
      <c r="D87" s="64"/>
      <c r="E87" s="64"/>
      <c r="F87" s="64"/>
    </row>
    <row r="88" spans="1:6" ht="12.5" x14ac:dyDescent="0.25">
      <c r="A88" s="64"/>
      <c r="B88" s="64"/>
      <c r="C88" s="64"/>
      <c r="D88" s="64"/>
      <c r="E88" s="64"/>
      <c r="F88" s="64"/>
    </row>
    <row r="89" spans="1:6" ht="12.5" x14ac:dyDescent="0.25">
      <c r="A89" s="64"/>
      <c r="B89" s="64"/>
      <c r="C89" s="64"/>
      <c r="D89" s="64"/>
      <c r="E89" s="64"/>
      <c r="F89" s="64"/>
    </row>
    <row r="90" spans="1:6" ht="12.5" x14ac:dyDescent="0.25">
      <c r="A90" s="64"/>
      <c r="B90" s="64"/>
      <c r="C90" s="64"/>
      <c r="D90" s="64"/>
      <c r="E90" s="64"/>
      <c r="F90" s="64"/>
    </row>
    <row r="91" spans="1:6" ht="12.5" x14ac:dyDescent="0.25">
      <c r="A91" s="64"/>
      <c r="B91" s="64"/>
      <c r="C91" s="64"/>
      <c r="D91" s="64"/>
      <c r="E91" s="64"/>
      <c r="F91" s="64"/>
    </row>
    <row r="92" spans="1:6" ht="12.5" x14ac:dyDescent="0.25">
      <c r="A92" s="64"/>
      <c r="B92" s="64"/>
      <c r="C92" s="64"/>
      <c r="D92" s="64"/>
      <c r="E92" s="64"/>
      <c r="F92" s="64"/>
    </row>
    <row r="93" spans="1:6" ht="12.5" x14ac:dyDescent="0.25">
      <c r="A93" s="64"/>
      <c r="B93" s="64"/>
      <c r="C93" s="64"/>
      <c r="D93" s="64"/>
      <c r="E93" s="64"/>
      <c r="F93" s="64"/>
    </row>
    <row r="94" spans="1:6" ht="12.5" x14ac:dyDescent="0.25">
      <c r="A94" s="64"/>
      <c r="B94" s="64"/>
      <c r="C94" s="64"/>
      <c r="D94" s="64"/>
      <c r="E94" s="64"/>
      <c r="F94" s="64"/>
    </row>
    <row r="95" spans="1:6" ht="12.5" x14ac:dyDescent="0.25">
      <c r="A95" s="64"/>
      <c r="B95" s="64"/>
      <c r="C95" s="64"/>
      <c r="D95" s="64"/>
      <c r="E95" s="64"/>
      <c r="F95" s="64"/>
    </row>
    <row r="96" spans="1:6" ht="12.5" x14ac:dyDescent="0.25">
      <c r="A96" s="64"/>
      <c r="B96" s="64"/>
      <c r="C96" s="64"/>
      <c r="D96" s="64"/>
      <c r="E96" s="64"/>
      <c r="F96" s="64"/>
    </row>
    <row r="97" spans="1:6" ht="12.5" x14ac:dyDescent="0.25">
      <c r="A97" s="64"/>
      <c r="B97" s="64"/>
      <c r="C97" s="64"/>
      <c r="D97" s="64"/>
      <c r="E97" s="64"/>
      <c r="F97" s="64"/>
    </row>
    <row r="98" spans="1:6" ht="12.5" x14ac:dyDescent="0.25">
      <c r="A98" s="64"/>
      <c r="B98" s="64"/>
      <c r="C98" s="64"/>
      <c r="D98" s="64"/>
      <c r="E98" s="64"/>
      <c r="F98" s="64"/>
    </row>
    <row r="99" spans="1:6" ht="12.5" x14ac:dyDescent="0.25">
      <c r="A99" s="64"/>
      <c r="B99" s="64"/>
      <c r="C99" s="64"/>
      <c r="D99" s="64"/>
      <c r="E99" s="64"/>
      <c r="F99" s="64"/>
    </row>
    <row r="100" spans="1:6" ht="12.5" x14ac:dyDescent="0.25">
      <c r="A100" s="64"/>
      <c r="B100" s="64"/>
      <c r="C100" s="64"/>
      <c r="D100" s="64"/>
      <c r="E100" s="64"/>
      <c r="F100" s="64"/>
    </row>
    <row r="101" spans="1:6" ht="12.5" x14ac:dyDescent="0.25">
      <c r="A101" s="64"/>
      <c r="B101" s="64"/>
      <c r="C101" s="64"/>
      <c r="D101" s="64"/>
      <c r="E101" s="64"/>
      <c r="F101" s="64"/>
    </row>
    <row r="102" spans="1:6" ht="12.5" x14ac:dyDescent="0.25">
      <c r="A102" s="64"/>
      <c r="B102" s="64"/>
      <c r="C102" s="64"/>
      <c r="D102" s="64"/>
      <c r="E102" s="64"/>
      <c r="F102" s="64"/>
    </row>
    <row r="105" spans="1:6" x14ac:dyDescent="0.25">
      <c r="A105" s="24"/>
      <c r="B105" s="24"/>
      <c r="C105" s="24"/>
      <c r="D105" s="24"/>
      <c r="E105" s="24"/>
      <c r="F105" s="24"/>
    </row>
  </sheetData>
  <mergeCells count="15">
    <mergeCell ref="A4:F4"/>
    <mergeCell ref="A2:F2"/>
    <mergeCell ref="C77:F77"/>
    <mergeCell ref="F60:F61"/>
    <mergeCell ref="F58:F59"/>
    <mergeCell ref="A58:B58"/>
    <mergeCell ref="A59:B59"/>
    <mergeCell ref="A57:B57"/>
    <mergeCell ref="A60:B60"/>
    <mergeCell ref="F10:F12"/>
    <mergeCell ref="D63:E63"/>
    <mergeCell ref="A64:E64"/>
    <mergeCell ref="C69:F69"/>
    <mergeCell ref="C72:F72"/>
    <mergeCell ref="C75:F75"/>
  </mergeCells>
  <phoneticPr fontId="0" type="noConversion"/>
  <conditionalFormatting sqref="F64">
    <cfRule type="containsText" dxfId="333" priority="1" operator="containsText" text="YES">
      <formula>NOT(ISERROR(SEARCH("YES",F64)))</formula>
    </cfRule>
  </conditionalFormatting>
  <pageMargins left="1" right="0.5" top="0.5" bottom="0.5" header="0.25" footer="0.25"/>
  <pageSetup scale="56" orientation="portrait" blackAndWhite="1" r:id="rId1"/>
  <headerFooter alignWithMargins="0">
    <oddHeader xml:space="preserve">&amp;RState of Kansas
City
</oddHeader>
    <oddFooter>&amp;C   Page No.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AE909-3FA3-45E4-BA8D-535EAA725CA5}">
  <sheetPr>
    <tabColor rgb="FFFF3399"/>
  </sheetPr>
  <dimension ref="A1"/>
  <sheetViews>
    <sheetView workbookViewId="0">
      <selection activeCell="P28" sqref="P28"/>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DD571"/>
    <pageSetUpPr fitToPage="1"/>
  </sheetPr>
  <dimension ref="A1:I35"/>
  <sheetViews>
    <sheetView workbookViewId="0">
      <selection activeCell="E97" sqref="E97"/>
    </sheetView>
  </sheetViews>
  <sheetFormatPr defaultColWidth="8.9140625" defaultRowHeight="15.5" x14ac:dyDescent="0.25"/>
  <cols>
    <col min="1" max="1" width="8.9140625" style="26"/>
    <col min="2" max="2" width="17.9140625" style="26" customWidth="1"/>
    <col min="3" max="3" width="16.08203125" style="26" customWidth="1"/>
    <col min="4" max="8" width="12.75" style="26" customWidth="1"/>
    <col min="9" max="9" width="10.25" style="26" customWidth="1"/>
    <col min="10" max="16384" width="8.9140625" style="26"/>
  </cols>
  <sheetData>
    <row r="1" spans="1:9" x14ac:dyDescent="0.25">
      <c r="A1" s="440"/>
      <c r="B1" s="47" t="str">
        <f>inputPrYr!D3</f>
        <v>The City of Colby</v>
      </c>
      <c r="C1" s="47"/>
      <c r="D1" s="28"/>
      <c r="E1" s="28"/>
      <c r="F1" s="28"/>
      <c r="G1" s="28"/>
      <c r="H1" s="28"/>
      <c r="I1" s="28">
        <f>inputPrYr!C6</f>
        <v>2026</v>
      </c>
    </row>
    <row r="2" spans="1:9" x14ac:dyDescent="0.25">
      <c r="A2" s="440"/>
      <c r="B2" s="28"/>
      <c r="C2" s="28"/>
      <c r="D2" s="28"/>
      <c r="E2" s="28"/>
      <c r="F2" s="28"/>
      <c r="G2" s="28"/>
      <c r="H2" s="28"/>
      <c r="I2" s="28"/>
    </row>
    <row r="3" spans="1:9" x14ac:dyDescent="0.25">
      <c r="A3" s="735" t="s">
        <v>527</v>
      </c>
      <c r="B3" s="735"/>
      <c r="C3" s="735"/>
      <c r="D3" s="735"/>
      <c r="E3" s="735"/>
      <c r="F3" s="735"/>
      <c r="G3" s="735"/>
      <c r="H3" s="735"/>
      <c r="I3" s="735"/>
    </row>
    <row r="4" spans="1:9" x14ac:dyDescent="0.25">
      <c r="A4" s="440"/>
      <c r="B4" s="28"/>
      <c r="C4" s="113"/>
      <c r="D4" s="33"/>
      <c r="E4" s="33"/>
      <c r="F4" s="28"/>
      <c r="G4" s="28"/>
      <c r="H4" s="28"/>
      <c r="I4" s="28"/>
    </row>
    <row r="5" spans="1:9" ht="21" customHeight="1" x14ac:dyDescent="0.25">
      <c r="A5" s="440"/>
      <c r="B5" s="114" t="s">
        <v>184</v>
      </c>
      <c r="C5" s="506" t="s">
        <v>517</v>
      </c>
      <c r="D5" s="732" t="str">
        <f>CONCATENATE("Allocation for Year ",I1,"")</f>
        <v>Allocation for Year 2026</v>
      </c>
      <c r="E5" s="733"/>
      <c r="F5" s="733"/>
      <c r="G5" s="733"/>
      <c r="H5" s="734"/>
      <c r="I5" s="28"/>
    </row>
    <row r="6" spans="1:9" x14ac:dyDescent="0.25">
      <c r="A6" s="440"/>
      <c r="B6" s="92" t="str">
        <f>CONCATENATE("for ",I1-1,"")</f>
        <v>for 2025</v>
      </c>
      <c r="C6" s="92" t="str">
        <f>CONCATENATE("Tax Year ",I1-2,"")</f>
        <v>Tax Year 2024</v>
      </c>
      <c r="D6" s="91" t="s">
        <v>123</v>
      </c>
      <c r="E6" s="91" t="s">
        <v>124</v>
      </c>
      <c r="F6" s="91" t="s">
        <v>122</v>
      </c>
      <c r="G6" s="505" t="s">
        <v>515</v>
      </c>
      <c r="H6" s="505" t="s">
        <v>516</v>
      </c>
      <c r="I6" s="109"/>
    </row>
    <row r="7" spans="1:9" x14ac:dyDescent="0.25">
      <c r="A7" s="440"/>
      <c r="B7" s="52" t="str">
        <f>(inputPrYr!B18)</f>
        <v>General</v>
      </c>
      <c r="C7" s="94">
        <f>(inputPrYr!E18)</f>
        <v>848732</v>
      </c>
      <c r="D7" s="94">
        <f>IF(inputPrYr!E18=0,0,D22-SUM(D8:D19))</f>
        <v>78010</v>
      </c>
      <c r="E7" s="94">
        <f>IF(inputPrYr!E18=0,0,E23-SUM(E8:E19))</f>
        <v>1373.4700000000003</v>
      </c>
      <c r="F7" s="94">
        <f>IF(inputPrYr!E18=0,0,F24-SUM(F8:F19))</f>
        <v>1193</v>
      </c>
      <c r="G7" s="94">
        <f>IF(inputPrYr!E18=0,0,G25-SUM(G8:G19))</f>
        <v>6265</v>
      </c>
      <c r="H7" s="94">
        <f>IF(inputPrYr!E18=0,0,H26-SUM(H8:H19))</f>
        <v>0</v>
      </c>
      <c r="I7" s="440"/>
    </row>
    <row r="8" spans="1:9" x14ac:dyDescent="0.25">
      <c r="A8" s="440"/>
      <c r="B8" s="52" t="str">
        <f>IF(inputPrYr!$B19&gt;"  ",(inputPrYr!$B19),"  ")</f>
        <v>Debt Service</v>
      </c>
      <c r="C8" s="94" t="str">
        <f>IF(inputPrYr!$E19&gt;0,(inputPrYr!$E19),"  ")</f>
        <v xml:space="preserve">  </v>
      </c>
      <c r="D8" s="94" t="str">
        <f>IF(inputPrYr!E19&gt;0,ROUND(C8*$D$29,0),"  ")</f>
        <v xml:space="preserve">  </v>
      </c>
      <c r="E8" s="94" t="str">
        <f>IF(inputPrYr!E19&gt;0,ROUND(+C8*E$30,0)," ")</f>
        <v xml:space="preserve"> </v>
      </c>
      <c r="F8" s="94" t="str">
        <f>IF(inputPrYr!E19&gt;0,ROUND(C8*F$31,0)," ")</f>
        <v xml:space="preserve"> </v>
      </c>
      <c r="G8" s="94" t="str">
        <f>IF(inputPrYr!E19&gt;0,ROUND(C8*G$32,0)," ")</f>
        <v xml:space="preserve"> </v>
      </c>
      <c r="H8" s="94" t="str">
        <f>IF(inputPrYr!E19&gt;0,ROUND(C8*H$33,0)," ")</f>
        <v xml:space="preserve"> </v>
      </c>
      <c r="I8" s="440"/>
    </row>
    <row r="9" spans="1:9" x14ac:dyDescent="0.25">
      <c r="A9" s="440"/>
      <c r="B9" s="52" t="str">
        <f>IF(inputPrYr!$B20&gt;"  ",(inputPrYr!$B20),"  ")</f>
        <v>Library</v>
      </c>
      <c r="C9" s="94">
        <f>IF(inputPrYr!$E20&gt;0,(inputPrYr!$E20),"  ")</f>
        <v>335622</v>
      </c>
      <c r="D9" s="94">
        <f>IF(inputPrYr!E20&gt;0,ROUND(C9*$D$29,0),"  ")</f>
        <v>30848</v>
      </c>
      <c r="E9" s="94">
        <f>IF(inputPrYr!E20&gt;0,ROUND(+C9*E$30,0)," ")</f>
        <v>543</v>
      </c>
      <c r="F9" s="94">
        <f>IF(inputPrYr!E20&gt;0,ROUND(+C9*F$31,0)," ")</f>
        <v>471</v>
      </c>
      <c r="G9" s="94">
        <f>IF(inputPrYr!E20&gt;0,ROUND(C9*G$32,0)," ")</f>
        <v>2477</v>
      </c>
      <c r="H9" s="94">
        <f>IF(inputPrYr!E20&gt;0,ROUND(C9*H$33,0)," ")</f>
        <v>0</v>
      </c>
      <c r="I9" s="440"/>
    </row>
    <row r="10" spans="1:9" x14ac:dyDescent="0.25">
      <c r="A10" s="440"/>
      <c r="B10" s="52" t="str">
        <f>IF(inputPrYr!$B22&gt;"  ",(inputPrYr!$B22),"  ")</f>
        <v>Recreation</v>
      </c>
      <c r="C10" s="94">
        <f>IF(inputPrYr!$E22&gt;0,(inputPrYr!$E22),"  ")</f>
        <v>200271</v>
      </c>
      <c r="D10" s="94">
        <f>IF(inputPrYr!E22&gt;0,ROUND(C10*$D$29,0),"  ")</f>
        <v>18408</v>
      </c>
      <c r="E10" s="94">
        <f>IF(inputPrYr!E22&gt;0,ROUND(+C10*E$30,0)," ")</f>
        <v>324</v>
      </c>
      <c r="F10" s="94">
        <f>IF(inputPrYr!E22&gt;0,ROUND(+C10*F$31,0)," ")</f>
        <v>281</v>
      </c>
      <c r="G10" s="94">
        <f>IF(inputPrYr!E22&gt;0,ROUND(C10*G$32,0)," ")</f>
        <v>1478</v>
      </c>
      <c r="H10" s="94">
        <f>IF(inputPrYr!E22&gt;0,ROUND(C10*H$33,0)," ")</f>
        <v>0</v>
      </c>
      <c r="I10" s="440"/>
    </row>
    <row r="11" spans="1:9" x14ac:dyDescent="0.25">
      <c r="A11" s="440"/>
      <c r="B11" s="52" t="str">
        <f>IF(inputPrYr!$B23&gt;"  ",(inputPrYr!$B23),"  ")</f>
        <v>Noxious Weeds</v>
      </c>
      <c r="C11" s="94">
        <f>IF(inputPrYr!$E23&gt;0,(inputPrYr!$E23),"  ")</f>
        <v>7360</v>
      </c>
      <c r="D11" s="94">
        <f>IF(inputPrYr!E23&gt;0,ROUND(C11*$D$29,0),"  ")</f>
        <v>676</v>
      </c>
      <c r="E11" s="94">
        <f>IF(inputPrYr!E23&gt;0,ROUND(+C11*E$30,0)," ")</f>
        <v>12</v>
      </c>
      <c r="F11" s="94">
        <f>IF(inputPrYr!E23&gt;0,ROUND(+C11*F$31,0)," ")</f>
        <v>10</v>
      </c>
      <c r="G11" s="94">
        <f>IF(inputPrYr!E23&gt;0,ROUND(C11*G$32,0)," ")</f>
        <v>54</v>
      </c>
      <c r="H11" s="94">
        <f>IF(inputPrYr!E23&gt;0,ROUND(C11*H$33,0)," ")</f>
        <v>0</v>
      </c>
      <c r="I11" s="440"/>
    </row>
    <row r="12" spans="1:9" x14ac:dyDescent="0.25">
      <c r="A12" s="440"/>
      <c r="B12" s="52" t="str">
        <f>IF(inputPrYr!$B24&gt;"  ",(inputPrYr!$B24),"  ")</f>
        <v>Special Fire/Police</v>
      </c>
      <c r="C12" s="94">
        <f>IF(inputPrYr!$E24&gt;0,(inputPrYr!$E24),"  ")</f>
        <v>51421</v>
      </c>
      <c r="D12" s="94">
        <f>IF(inputPrYr!E24&gt;0,ROUND(C12*$D$29,0),"  ")</f>
        <v>4726</v>
      </c>
      <c r="E12" s="94">
        <f>IF(inputPrYr!E24&gt;0,ROUND(+C12*E$30,0)," ")</f>
        <v>83</v>
      </c>
      <c r="F12" s="94">
        <f>IF(inputPrYr!E24&gt;0,ROUND(+C12*F$31,0)," ")</f>
        <v>72</v>
      </c>
      <c r="G12" s="94">
        <f>IF(inputPrYr!E24&gt;0,ROUND(C12*G$32,0)," ")</f>
        <v>380</v>
      </c>
      <c r="H12" s="94">
        <f>IF(inputPrYr!E24&gt;0,ROUND(C12*H$33,0)," ")</f>
        <v>0</v>
      </c>
      <c r="I12" s="440"/>
    </row>
    <row r="13" spans="1:9" x14ac:dyDescent="0.25">
      <c r="A13" s="440"/>
      <c r="B13" s="52" t="str">
        <f>IF(inputPrYr!$B25&gt;"  ",(inputPrYr!$B25),"  ")</f>
        <v>Special Liability</v>
      </c>
      <c r="C13" s="94">
        <f>IF(inputPrYr!$E25&gt;0,(inputPrYr!$E25),"  ")</f>
        <v>60380</v>
      </c>
      <c r="D13" s="94">
        <f>IF(inputPrYr!E25&gt;0,ROUND(C13*$D$29,0),"  ")</f>
        <v>5550</v>
      </c>
      <c r="E13" s="94">
        <f>IF(inputPrYr!E25&gt;0,ROUND(+C13*E$30,0)," ")</f>
        <v>98</v>
      </c>
      <c r="F13" s="94">
        <f>IF(inputPrYr!E25&gt;0,ROUND(+C13*F$31,0)," ")</f>
        <v>85</v>
      </c>
      <c r="G13" s="94">
        <f>IF(inputPrYr!E25&gt;0,ROUND(C13*G$32,0)," ")</f>
        <v>446</v>
      </c>
      <c r="H13" s="94">
        <f>IF(inputPrYr!E25&gt;0,ROUND(C13*H$33,0)," ")</f>
        <v>0</v>
      </c>
      <c r="I13" s="440"/>
    </row>
    <row r="14" spans="1:9" x14ac:dyDescent="0.25">
      <c r="A14" s="440"/>
      <c r="B14" s="52" t="str">
        <f>IF(inputPrYr!$B26&gt;"  ",(inputPrYr!$B26),"  ")</f>
        <v>Employee Benefits</v>
      </c>
      <c r="C14" s="94">
        <f>IF(inputPrYr!$E26&gt;0,(inputPrYr!$E26),"  ")</f>
        <v>579225</v>
      </c>
      <c r="D14" s="94">
        <f>IF(inputPrYr!E26&gt;0,ROUND(C14*$D$29,0),"  ")</f>
        <v>53239</v>
      </c>
      <c r="E14" s="94">
        <f>IF(inputPrYr!E26&gt;0,ROUND(+C14*E$30,0)," ")</f>
        <v>937</v>
      </c>
      <c r="F14" s="94">
        <f>IF(inputPrYr!E26&gt;0,ROUND(+C14*F$31,0)," ")</f>
        <v>813</v>
      </c>
      <c r="G14" s="94">
        <f>IF(inputPrYr!E26&gt;0,ROUND(C14*G$32,0)," ")</f>
        <v>4276</v>
      </c>
      <c r="H14" s="94">
        <f>IF(inputPrYr!E26&gt;0,ROUND(C14*H$33,0)," ")</f>
        <v>0</v>
      </c>
      <c r="I14" s="440"/>
    </row>
    <row r="15" spans="1:9" x14ac:dyDescent="0.25">
      <c r="A15" s="440"/>
      <c r="B15" s="52" t="str">
        <f>IF(inputPrYr!$B27&gt;"  ",(inputPrYr!$B27),"  ")</f>
        <v>Economic Development</v>
      </c>
      <c r="C15" s="94">
        <f>IF(inputPrYr!$E27&gt;0,(inputPrYr!$E27),"  ")</f>
        <v>76722</v>
      </c>
      <c r="D15" s="94">
        <f>IF(inputPrYr!E27&gt;0,ROUND(C15*$D$29,0),"  ")</f>
        <v>7052</v>
      </c>
      <c r="E15" s="94">
        <f>IF(inputPrYr!E27&gt;0,ROUND(+C15*E$30,0)," ")</f>
        <v>124</v>
      </c>
      <c r="F15" s="94">
        <f>IF(inputPrYr!E27&gt;0,ROUND(+C15*F$31,0)," ")</f>
        <v>108</v>
      </c>
      <c r="G15" s="94">
        <f>IF(inputPrYr!E27&gt;0,ROUND(C15*G$32,0)," ")</f>
        <v>566</v>
      </c>
      <c r="H15" s="94">
        <f>IF(inputPrYr!E27&gt;0,ROUND(C15*H$33,0)," ")</f>
        <v>0</v>
      </c>
      <c r="I15" s="440"/>
    </row>
    <row r="16" spans="1:9" x14ac:dyDescent="0.25">
      <c r="A16" s="440"/>
      <c r="B16" s="52" t="str">
        <f>IF(inputPrYr!$B28&gt;"  ",(inputPrYr!$B28),"  ")</f>
        <v xml:space="preserve">  </v>
      </c>
      <c r="C16" s="94" t="str">
        <f>IF(inputPrYr!$E28&gt;0,(inputPrYr!$E28),"  ")</f>
        <v xml:space="preserve">  </v>
      </c>
      <c r="D16" s="94" t="str">
        <f>IF(inputPrYr!E28&gt;0,ROUND(C16*$D$29,0),"  ")</f>
        <v xml:space="preserve">  </v>
      </c>
      <c r="E16" s="94" t="str">
        <f>IF(inputPrYr!E28&gt;0,ROUND(+C16*E$30,0)," ")</f>
        <v xml:space="preserve"> </v>
      </c>
      <c r="F16" s="94" t="str">
        <f>IF(inputPrYr!E28&gt;0,ROUND(+C16*F$31,0)," ")</f>
        <v xml:space="preserve"> </v>
      </c>
      <c r="G16" s="94" t="str">
        <f>IF(inputPrYr!E28&gt;0,ROUND(C16*G$32,0)," ")</f>
        <v xml:space="preserve"> </v>
      </c>
      <c r="H16" s="94" t="str">
        <f>IF(inputPrYr!E28&gt;0,ROUND(C16*H$33,0)," ")</f>
        <v xml:space="preserve"> </v>
      </c>
      <c r="I16" s="440"/>
    </row>
    <row r="17" spans="1:9" x14ac:dyDescent="0.25">
      <c r="A17" s="440"/>
      <c r="B17" s="52" t="str">
        <f>IF(inputPrYr!$B29&gt;"  ",(inputPrYr!$B29),"  ")</f>
        <v xml:space="preserve">  </v>
      </c>
      <c r="C17" s="94" t="str">
        <f>IF(inputPrYr!$E29&gt;0,(inputPrYr!$E29),"  ")</f>
        <v xml:space="preserve">  </v>
      </c>
      <c r="D17" s="94" t="str">
        <f>IF(inputPrYr!E29&gt;0,ROUND(C17*$D$29,0),"  ")</f>
        <v xml:space="preserve">  </v>
      </c>
      <c r="E17" s="94" t="str">
        <f>IF(inputPrYr!E29&gt;0,ROUND(+C17*E$30,0)," ")</f>
        <v xml:space="preserve"> </v>
      </c>
      <c r="F17" s="94" t="str">
        <f>IF(inputPrYr!E29&gt;0,ROUND(+C17*F$31,0)," ")</f>
        <v xml:space="preserve"> </v>
      </c>
      <c r="G17" s="94" t="str">
        <f>IF(inputPrYr!E29&gt;0,ROUND(C17*G$32,0)," ")</f>
        <v xml:space="preserve"> </v>
      </c>
      <c r="H17" s="94" t="str">
        <f>IF(inputPrYr!E29&gt;0,ROUND(C17*H$33,0)," ")</f>
        <v xml:space="preserve"> </v>
      </c>
      <c r="I17" s="440"/>
    </row>
    <row r="18" spans="1:9" x14ac:dyDescent="0.25">
      <c r="A18" s="440"/>
      <c r="B18" s="52" t="str">
        <f>IF(inputPrYr!$B30&gt;"  ",(inputPrYr!$B30),"  ")</f>
        <v xml:space="preserve">  </v>
      </c>
      <c r="C18" s="94" t="str">
        <f>IF(inputPrYr!$E30&gt;0,(inputPrYr!$E30),"  ")</f>
        <v xml:space="preserve">  </v>
      </c>
      <c r="D18" s="94" t="str">
        <f>IF(inputPrYr!E30&gt;0,ROUND(C18*$D$29,0),"  ")</f>
        <v xml:space="preserve">  </v>
      </c>
      <c r="E18" s="94" t="str">
        <f>IF(inputPrYr!E30&gt;0,ROUND(+C18*E$30,0)," ")</f>
        <v xml:space="preserve"> </v>
      </c>
      <c r="F18" s="94" t="str">
        <f>IF(inputPrYr!E30&gt;0,ROUND(+C18*F$31,0)," ")</f>
        <v xml:space="preserve"> </v>
      </c>
      <c r="G18" s="94" t="str">
        <f>IF(inputPrYr!E30&gt;0,ROUND(C18*G$32,0)," ")</f>
        <v xml:space="preserve"> </v>
      </c>
      <c r="H18" s="94" t="str">
        <f>IF(inputPrYr!E30&gt;0,ROUND(C18*H$33,0)," ")</f>
        <v xml:space="preserve"> </v>
      </c>
      <c r="I18" s="440"/>
    </row>
    <row r="19" spans="1:9" x14ac:dyDescent="0.25">
      <c r="A19" s="440"/>
      <c r="B19" s="52" t="str">
        <f>IF(inputPrYr!B31&gt;"  ",(inputPrYr!B31),"  ")</f>
        <v xml:space="preserve">  </v>
      </c>
      <c r="C19" s="94" t="str">
        <f>IF(inputPrYr!E31&gt;0,(inputPrYr!E31),"  ")</f>
        <v xml:space="preserve">  </v>
      </c>
      <c r="D19" s="94" t="str">
        <f>IF(inputPrYr!E31&gt;0,ROUND(C19*$D$29,0),"  ")</f>
        <v xml:space="preserve">  </v>
      </c>
      <c r="E19" s="94" t="str">
        <f>IF(inputPrYr!E31&gt;0,ROUND(+C19*E$30,0)," ")</f>
        <v xml:space="preserve"> </v>
      </c>
      <c r="F19" s="94" t="str">
        <f>IF(inputPrYr!E31&gt;0,ROUND(+C19*F$31,0)," ")</f>
        <v xml:space="preserve"> </v>
      </c>
      <c r="G19" s="94" t="str">
        <f>IF(inputPrYr!E31&gt;0,ROUND(C19*G$32,0)," ")</f>
        <v xml:space="preserve"> </v>
      </c>
      <c r="H19" s="94" t="str">
        <f>IF(inputPrYr!E31&gt;0,ROUND(C19*H$33,0)," ")</f>
        <v xml:space="preserve"> </v>
      </c>
      <c r="I19" s="440"/>
    </row>
    <row r="20" spans="1:9" x14ac:dyDescent="0.25">
      <c r="A20" s="440"/>
      <c r="B20" s="28" t="s">
        <v>53</v>
      </c>
      <c r="C20" s="101">
        <f t="shared" ref="C20:H20" si="0">SUM(C7:C19)</f>
        <v>2159733</v>
      </c>
      <c r="D20" s="101">
        <f t="shared" si="0"/>
        <v>198509</v>
      </c>
      <c r="E20" s="101">
        <f t="shared" si="0"/>
        <v>3494.4700000000003</v>
      </c>
      <c r="F20" s="101">
        <f t="shared" si="0"/>
        <v>3033</v>
      </c>
      <c r="G20" s="101">
        <f t="shared" si="0"/>
        <v>15942</v>
      </c>
      <c r="H20" s="101">
        <f t="shared" si="0"/>
        <v>0</v>
      </c>
      <c r="I20" s="28"/>
    </row>
    <row r="21" spans="1:9" x14ac:dyDescent="0.25">
      <c r="A21" s="440"/>
      <c r="B21" s="28"/>
      <c r="C21" s="47"/>
      <c r="D21" s="47"/>
      <c r="E21" s="47"/>
      <c r="F21" s="47"/>
      <c r="G21" s="47"/>
      <c r="H21" s="47"/>
      <c r="I21" s="28"/>
    </row>
    <row r="22" spans="1:9" x14ac:dyDescent="0.25">
      <c r="A22" s="440"/>
      <c r="B22" s="467" t="s">
        <v>54</v>
      </c>
      <c r="C22" s="115"/>
      <c r="D22" s="116">
        <f>(inputOth!E42)</f>
        <v>198509</v>
      </c>
      <c r="E22" s="115"/>
      <c r="F22" s="28"/>
      <c r="G22" s="28"/>
      <c r="H22" s="28"/>
      <c r="I22" s="28"/>
    </row>
    <row r="23" spans="1:9" x14ac:dyDescent="0.25">
      <c r="A23" s="440"/>
      <c r="B23" s="467" t="s">
        <v>518</v>
      </c>
      <c r="C23" s="28"/>
      <c r="D23" s="28"/>
      <c r="E23" s="116">
        <f>(inputOth!E43)</f>
        <v>3494.4700000000003</v>
      </c>
      <c r="F23" s="28"/>
      <c r="G23" s="28"/>
      <c r="H23" s="28"/>
      <c r="I23" s="28"/>
    </row>
    <row r="24" spans="1:9" x14ac:dyDescent="0.25">
      <c r="A24" s="440"/>
      <c r="B24" s="467" t="s">
        <v>519</v>
      </c>
      <c r="C24" s="28"/>
      <c r="D24" s="28"/>
      <c r="E24" s="28"/>
      <c r="F24" s="116">
        <f>inputOth!E44</f>
        <v>3033</v>
      </c>
      <c r="G24" s="47"/>
      <c r="H24" s="47"/>
      <c r="I24" s="28"/>
    </row>
    <row r="25" spans="1:9" x14ac:dyDescent="0.25">
      <c r="A25" s="440"/>
      <c r="B25" s="468" t="s">
        <v>520</v>
      </c>
      <c r="C25" s="28"/>
      <c r="D25" s="28"/>
      <c r="E25" s="28"/>
      <c r="F25" s="47"/>
      <c r="G25" s="116">
        <f>inputOth!E45</f>
        <v>15942</v>
      </c>
      <c r="H25" s="47"/>
      <c r="I25" s="28"/>
    </row>
    <row r="26" spans="1:9" x14ac:dyDescent="0.25">
      <c r="A26" s="440"/>
      <c r="B26" s="468" t="s">
        <v>521</v>
      </c>
      <c r="C26" s="28"/>
      <c r="D26" s="28"/>
      <c r="E26" s="28"/>
      <c r="F26" s="47"/>
      <c r="G26" s="47"/>
      <c r="H26" s="116">
        <f>inputOth!E46</f>
        <v>0</v>
      </c>
      <c r="I26" s="28"/>
    </row>
    <row r="27" spans="1:9" x14ac:dyDescent="0.25">
      <c r="A27" s="440"/>
      <c r="B27" s="29"/>
      <c r="C27" s="28"/>
      <c r="D27" s="28"/>
      <c r="E27" s="28"/>
      <c r="F27" s="47"/>
      <c r="G27" s="47"/>
      <c r="H27" s="47"/>
      <c r="I27" s="28"/>
    </row>
    <row r="28" spans="1:9" x14ac:dyDescent="0.25">
      <c r="A28" s="440"/>
      <c r="B28" s="29"/>
      <c r="C28" s="28"/>
      <c r="D28" s="28"/>
      <c r="E28" s="28"/>
      <c r="F28" s="47"/>
      <c r="G28" s="47"/>
      <c r="H28" s="47"/>
      <c r="I28" s="56"/>
    </row>
    <row r="29" spans="1:9" x14ac:dyDescent="0.25">
      <c r="A29" s="440"/>
      <c r="B29" s="29" t="s">
        <v>55</v>
      </c>
      <c r="C29" s="28"/>
      <c r="D29" s="117">
        <f>IF(C20=0,0,D22/C20)</f>
        <v>9.1913676366476779E-2</v>
      </c>
      <c r="E29" s="28"/>
      <c r="F29" s="28"/>
      <c r="G29" s="28"/>
      <c r="H29" s="28"/>
      <c r="I29" s="28"/>
    </row>
    <row r="30" spans="1:9" x14ac:dyDescent="0.25">
      <c r="A30" s="440"/>
      <c r="B30" s="28"/>
      <c r="C30" s="29" t="s">
        <v>56</v>
      </c>
      <c r="D30" s="28"/>
      <c r="E30" s="117">
        <f>IF(C20=0,0,E23/C20)</f>
        <v>1.6180101892224641E-3</v>
      </c>
      <c r="F30" s="28"/>
      <c r="G30" s="28"/>
      <c r="H30" s="28"/>
      <c r="I30" s="28"/>
    </row>
    <row r="31" spans="1:9" x14ac:dyDescent="0.25">
      <c r="A31" s="440"/>
      <c r="B31" s="28"/>
      <c r="C31" s="28"/>
      <c r="D31" s="29" t="s">
        <v>125</v>
      </c>
      <c r="E31" s="28"/>
      <c r="F31" s="117">
        <f>IF(C20=0,0,F24/C20)</f>
        <v>1.4043402587264259E-3</v>
      </c>
      <c r="G31" s="501"/>
      <c r="H31" s="501"/>
      <c r="I31" s="28"/>
    </row>
    <row r="32" spans="1:9" x14ac:dyDescent="0.25">
      <c r="A32" s="440"/>
      <c r="B32" s="28"/>
      <c r="C32" s="28"/>
      <c r="D32" s="29"/>
      <c r="E32" s="508" t="s">
        <v>522</v>
      </c>
      <c r="F32" s="507"/>
      <c r="G32" s="117">
        <f>IF(C20=0,0,G25/C20)</f>
        <v>7.3814679870150618E-3</v>
      </c>
      <c r="H32" s="501"/>
      <c r="I32" s="28"/>
    </row>
    <row r="33" spans="1:9" x14ac:dyDescent="0.25">
      <c r="A33" s="440"/>
      <c r="B33" s="28"/>
      <c r="C33" s="28"/>
      <c r="D33" s="29"/>
      <c r="E33" s="468"/>
      <c r="F33" s="508" t="s">
        <v>523</v>
      </c>
      <c r="G33" s="501"/>
      <c r="H33" s="117">
        <f>IF(C20=0,0,H26/C20)</f>
        <v>0</v>
      </c>
      <c r="I33" s="28"/>
    </row>
    <row r="34" spans="1:9" x14ac:dyDescent="0.25">
      <c r="A34" s="440"/>
      <c r="B34" s="28"/>
      <c r="C34" s="28"/>
      <c r="D34" s="28"/>
      <c r="E34" s="28"/>
      <c r="F34" s="28"/>
      <c r="G34" s="28"/>
      <c r="H34" s="28"/>
      <c r="I34" s="28"/>
    </row>
    <row r="35" spans="1:9" x14ac:dyDescent="0.25">
      <c r="A35" s="440"/>
      <c r="B35" s="40"/>
      <c r="C35" s="40"/>
      <c r="D35" s="40"/>
      <c r="E35" s="40"/>
      <c r="F35" s="40"/>
      <c r="G35" s="40"/>
      <c r="H35" s="40"/>
      <c r="I35" s="40"/>
    </row>
  </sheetData>
  <sheetProtection sheet="1" objects="1" scenarios="1"/>
  <mergeCells count="2">
    <mergeCell ref="D5:H5"/>
    <mergeCell ref="A3:I3"/>
  </mergeCells>
  <phoneticPr fontId="0" type="noConversion"/>
  <pageMargins left="0.5" right="0.5" top="1" bottom="0.5" header="0.5" footer="0.5"/>
  <pageSetup scale="91" orientation="landscape" blackAndWhite="1" r:id="rId1"/>
  <headerFooter alignWithMargins="0">
    <oddHeader xml:space="preserve">&amp;RState of Kansas
City
</oddHeader>
    <oddFooter xml:space="preserve">&amp;CPage No. 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DD571"/>
    <pageSetUpPr fitToPage="1"/>
  </sheetPr>
  <dimension ref="B1:K45"/>
  <sheetViews>
    <sheetView topLeftCell="A23" workbookViewId="0">
      <selection activeCell="I46" sqref="I46"/>
    </sheetView>
  </sheetViews>
  <sheetFormatPr defaultColWidth="8.9140625" defaultRowHeight="15.5" x14ac:dyDescent="0.25"/>
  <cols>
    <col min="1" max="1" width="4.25" style="24" customWidth="1"/>
    <col min="2" max="3" width="17.75" style="24" customWidth="1"/>
    <col min="4" max="7" width="12.75" style="24" customWidth="1"/>
    <col min="8" max="16384" width="8.9140625" style="24"/>
  </cols>
  <sheetData>
    <row r="1" spans="2:11" x14ac:dyDescent="0.25">
      <c r="B1" s="47" t="str">
        <f>inputPrYr!D3</f>
        <v>The City of Colby</v>
      </c>
      <c r="C1" s="47"/>
      <c r="D1" s="28"/>
      <c r="E1" s="28"/>
      <c r="F1" s="28"/>
      <c r="G1" s="28">
        <f>inputPrYr!$C$6</f>
        <v>2026</v>
      </c>
    </row>
    <row r="2" spans="2:11" x14ac:dyDescent="0.25">
      <c r="B2" s="28"/>
      <c r="C2" s="28"/>
      <c r="D2" s="28"/>
      <c r="E2" s="28"/>
      <c r="F2" s="28"/>
      <c r="G2" s="28"/>
    </row>
    <row r="3" spans="2:11" x14ac:dyDescent="0.25">
      <c r="B3" s="735" t="s">
        <v>137</v>
      </c>
      <c r="C3" s="735"/>
      <c r="D3" s="735"/>
      <c r="E3" s="735"/>
      <c r="F3" s="735"/>
      <c r="G3" s="735"/>
    </row>
    <row r="4" spans="2:11" x14ac:dyDescent="0.25">
      <c r="B4" s="118"/>
      <c r="C4" s="118"/>
      <c r="D4" s="118"/>
      <c r="E4" s="118"/>
      <c r="F4" s="118"/>
      <c r="G4" s="118"/>
    </row>
    <row r="5" spans="2:11" x14ac:dyDescent="0.25">
      <c r="B5" s="119" t="s">
        <v>309</v>
      </c>
      <c r="C5" s="119" t="s">
        <v>310</v>
      </c>
      <c r="D5" s="119" t="s">
        <v>77</v>
      </c>
      <c r="E5" s="119" t="s">
        <v>142</v>
      </c>
      <c r="F5" s="119" t="s">
        <v>143</v>
      </c>
      <c r="G5" s="119" t="s">
        <v>176</v>
      </c>
    </row>
    <row r="6" spans="2:11" x14ac:dyDescent="0.25">
      <c r="B6" s="120" t="s">
        <v>311</v>
      </c>
      <c r="C6" s="120" t="s">
        <v>312</v>
      </c>
      <c r="D6" s="120" t="s">
        <v>177</v>
      </c>
      <c r="E6" s="120" t="s">
        <v>177</v>
      </c>
      <c r="F6" s="120" t="s">
        <v>177</v>
      </c>
      <c r="G6" s="120" t="s">
        <v>178</v>
      </c>
    </row>
    <row r="7" spans="2:11" ht="15" customHeight="1" x14ac:dyDescent="0.25">
      <c r="B7" s="121" t="s">
        <v>179</v>
      </c>
      <c r="C7" s="121" t="s">
        <v>180</v>
      </c>
      <c r="D7" s="122">
        <f>G1-2</f>
        <v>2024</v>
      </c>
      <c r="E7" s="122">
        <f>G1-1</f>
        <v>2025</v>
      </c>
      <c r="F7" s="122">
        <f>G1</f>
        <v>2026</v>
      </c>
      <c r="G7" s="121" t="s">
        <v>181</v>
      </c>
    </row>
    <row r="8" spans="2:11" ht="14.25" customHeight="1" x14ac:dyDescent="0.25">
      <c r="B8" s="123" t="s">
        <v>983</v>
      </c>
      <c r="C8" s="123" t="s">
        <v>33</v>
      </c>
      <c r="D8" s="124">
        <v>437730</v>
      </c>
      <c r="E8" s="124">
        <v>424653</v>
      </c>
      <c r="F8" s="124">
        <v>419142</v>
      </c>
      <c r="G8" s="125" t="s">
        <v>1036</v>
      </c>
      <c r="H8" s="24" t="s">
        <v>1042</v>
      </c>
    </row>
    <row r="9" spans="2:11" ht="15" customHeight="1" x14ac:dyDescent="0.25">
      <c r="B9" s="126" t="s">
        <v>984</v>
      </c>
      <c r="C9" s="126" t="s">
        <v>33</v>
      </c>
      <c r="D9" s="127">
        <v>74005</v>
      </c>
      <c r="E9" s="127">
        <v>74426</v>
      </c>
      <c r="F9" s="127">
        <v>83918</v>
      </c>
      <c r="G9" s="125" t="s">
        <v>1036</v>
      </c>
      <c r="H9" s="24" t="s">
        <v>1042</v>
      </c>
      <c r="I9" s="665">
        <v>2024</v>
      </c>
      <c r="J9" s="665">
        <v>2025</v>
      </c>
      <c r="K9" s="665">
        <v>2026</v>
      </c>
    </row>
    <row r="10" spans="2:11" ht="15" customHeight="1" x14ac:dyDescent="0.25">
      <c r="B10" s="126" t="s">
        <v>1027</v>
      </c>
      <c r="C10" s="126" t="s">
        <v>33</v>
      </c>
      <c r="D10" s="127">
        <v>50751</v>
      </c>
      <c r="E10" s="127">
        <v>53526</v>
      </c>
      <c r="F10" s="127">
        <v>50808</v>
      </c>
      <c r="G10" s="125" t="s">
        <v>1036</v>
      </c>
      <c r="H10" s="24" t="s">
        <v>1042</v>
      </c>
    </row>
    <row r="11" spans="2:11" ht="15" customHeight="1" x14ac:dyDescent="0.25">
      <c r="B11" s="126" t="s">
        <v>1028</v>
      </c>
      <c r="C11" s="126" t="s">
        <v>33</v>
      </c>
      <c r="D11" s="127">
        <v>46340</v>
      </c>
      <c r="E11" s="127">
        <v>50098</v>
      </c>
      <c r="F11" s="127">
        <v>42928</v>
      </c>
      <c r="G11" s="125" t="s">
        <v>1036</v>
      </c>
      <c r="H11" s="24" t="s">
        <v>1042</v>
      </c>
      <c r="I11" s="655">
        <f>SUM(D8:D11)</f>
        <v>608826</v>
      </c>
      <c r="J11" s="655">
        <f>SUM(E8:E11)</f>
        <v>602703</v>
      </c>
      <c r="K11" s="655">
        <f>SUM(F8:F11)</f>
        <v>596796</v>
      </c>
    </row>
    <row r="12" spans="2:11" ht="15" customHeight="1" x14ac:dyDescent="0.25">
      <c r="B12" s="126" t="s">
        <v>993</v>
      </c>
      <c r="C12" s="126" t="s">
        <v>1029</v>
      </c>
      <c r="D12" s="127">
        <v>156806</v>
      </c>
      <c r="E12" s="127">
        <v>177131</v>
      </c>
      <c r="F12" s="127">
        <v>192441</v>
      </c>
      <c r="G12" s="125" t="s">
        <v>1037</v>
      </c>
      <c r="H12" s="24" t="s">
        <v>1042</v>
      </c>
    </row>
    <row r="13" spans="2:11" ht="15" customHeight="1" x14ac:dyDescent="0.25">
      <c r="B13" s="126" t="s">
        <v>993</v>
      </c>
      <c r="C13" s="126" t="s">
        <v>1030</v>
      </c>
      <c r="D13" s="127">
        <v>83928</v>
      </c>
      <c r="E13" s="127">
        <v>250000</v>
      </c>
      <c r="F13" s="127">
        <v>250000</v>
      </c>
      <c r="G13" s="125" t="s">
        <v>1038</v>
      </c>
      <c r="H13" s="24" t="s">
        <v>1042</v>
      </c>
    </row>
    <row r="14" spans="2:11" ht="15" customHeight="1" x14ac:dyDescent="0.25">
      <c r="B14" s="126" t="s">
        <v>33</v>
      </c>
      <c r="C14" s="126" t="s">
        <v>1031</v>
      </c>
      <c r="D14" s="127">
        <v>380524</v>
      </c>
      <c r="E14" s="127">
        <v>511375</v>
      </c>
      <c r="F14" s="127">
        <v>516684</v>
      </c>
      <c r="G14" s="125" t="s">
        <v>1039</v>
      </c>
      <c r="H14" s="24" t="s">
        <v>1042</v>
      </c>
    </row>
    <row r="15" spans="2:11" ht="15" customHeight="1" x14ac:dyDescent="0.25">
      <c r="B15" s="126" t="s">
        <v>33</v>
      </c>
      <c r="C15" s="126" t="s">
        <v>992</v>
      </c>
      <c r="D15" s="127">
        <f>119184+15523</f>
        <v>134707</v>
      </c>
      <c r="E15" s="127">
        <f>236595+15000</f>
        <v>251595</v>
      </c>
      <c r="F15" s="127">
        <v>261524</v>
      </c>
      <c r="G15" s="125" t="s">
        <v>1040</v>
      </c>
      <c r="H15" s="24" t="s">
        <v>1042</v>
      </c>
    </row>
    <row r="16" spans="2:11" ht="15" customHeight="1" x14ac:dyDescent="0.25">
      <c r="B16" s="126" t="s">
        <v>983</v>
      </c>
      <c r="C16" s="126" t="s">
        <v>1031</v>
      </c>
      <c r="D16" s="127">
        <f>490335+100000+10125+200000</f>
        <v>800460</v>
      </c>
      <c r="E16" s="127">
        <v>640375</v>
      </c>
      <c r="F16" s="127">
        <v>496793</v>
      </c>
      <c r="G16" s="125" t="s">
        <v>1039</v>
      </c>
      <c r="H16" s="24" t="s">
        <v>1042</v>
      </c>
    </row>
    <row r="17" spans="2:9" ht="15" customHeight="1" x14ac:dyDescent="0.25">
      <c r="B17" s="126" t="s">
        <v>983</v>
      </c>
      <c r="C17" s="126" t="s">
        <v>992</v>
      </c>
      <c r="D17" s="127">
        <v>78915</v>
      </c>
      <c r="E17" s="127">
        <v>94210</v>
      </c>
      <c r="F17" s="127">
        <v>105210</v>
      </c>
      <c r="G17" s="125" t="s">
        <v>1040</v>
      </c>
      <c r="H17" s="24" t="s">
        <v>1042</v>
      </c>
    </row>
    <row r="18" spans="2:9" ht="15" customHeight="1" x14ac:dyDescent="0.25">
      <c r="B18" s="126" t="s">
        <v>983</v>
      </c>
      <c r="C18" s="126" t="s">
        <v>1032</v>
      </c>
      <c r="D18" s="127">
        <v>0</v>
      </c>
      <c r="E18" s="127">
        <v>0</v>
      </c>
      <c r="F18" s="127">
        <v>0</v>
      </c>
      <c r="G18" s="125" t="s">
        <v>1036</v>
      </c>
      <c r="H18" s="24" t="s">
        <v>1042</v>
      </c>
    </row>
    <row r="19" spans="2:9" ht="15" customHeight="1" x14ac:dyDescent="0.25">
      <c r="B19" s="126" t="s">
        <v>984</v>
      </c>
      <c r="C19" s="126" t="s">
        <v>1031</v>
      </c>
      <c r="D19" s="127">
        <f>388375+200000</f>
        <v>588375</v>
      </c>
      <c r="E19" s="127">
        <v>498375</v>
      </c>
      <c r="F19" s="127">
        <v>495564</v>
      </c>
      <c r="G19" s="125" t="s">
        <v>1039</v>
      </c>
      <c r="H19" s="24" t="s">
        <v>1042</v>
      </c>
    </row>
    <row r="20" spans="2:9" ht="15" customHeight="1" x14ac:dyDescent="0.25">
      <c r="B20" s="126" t="s">
        <v>984</v>
      </c>
      <c r="C20" s="126" t="s">
        <v>992</v>
      </c>
      <c r="D20" s="127">
        <v>53926</v>
      </c>
      <c r="E20" s="127">
        <v>32025</v>
      </c>
      <c r="F20" s="127">
        <v>57025</v>
      </c>
      <c r="G20" s="125" t="s">
        <v>1040</v>
      </c>
      <c r="H20" s="24" t="s">
        <v>1042</v>
      </c>
    </row>
    <row r="21" spans="2:9" ht="15" customHeight="1" x14ac:dyDescent="0.25">
      <c r="B21" s="126" t="s">
        <v>984</v>
      </c>
      <c r="C21" s="126" t="s">
        <v>1032</v>
      </c>
      <c r="D21" s="127">
        <v>0</v>
      </c>
      <c r="E21" s="127">
        <v>0</v>
      </c>
      <c r="F21" s="127">
        <v>200000</v>
      </c>
      <c r="G21" s="125" t="s">
        <v>1036</v>
      </c>
      <c r="H21" s="24" t="s">
        <v>1042</v>
      </c>
    </row>
    <row r="22" spans="2:9" ht="15" customHeight="1" x14ac:dyDescent="0.25">
      <c r="B22" s="126" t="s">
        <v>1027</v>
      </c>
      <c r="C22" s="126" t="s">
        <v>1031</v>
      </c>
      <c r="D22" s="127">
        <f>77250+150000</f>
        <v>227250</v>
      </c>
      <c r="E22" s="127">
        <v>97250</v>
      </c>
      <c r="F22" s="127">
        <v>150905</v>
      </c>
      <c r="G22" s="125" t="s">
        <v>1039</v>
      </c>
      <c r="H22" s="24" t="s">
        <v>1042</v>
      </c>
    </row>
    <row r="23" spans="2:9" ht="15" customHeight="1" x14ac:dyDescent="0.25">
      <c r="B23" s="126" t="s">
        <v>1027</v>
      </c>
      <c r="C23" s="126" t="s">
        <v>992</v>
      </c>
      <c r="D23" s="127">
        <v>46170</v>
      </c>
      <c r="E23" s="127">
        <v>57350</v>
      </c>
      <c r="F23" s="127">
        <v>82350</v>
      </c>
      <c r="G23" s="125" t="s">
        <v>1040</v>
      </c>
      <c r="H23" s="24" t="s">
        <v>1042</v>
      </c>
    </row>
    <row r="24" spans="2:9" ht="15" customHeight="1" x14ac:dyDescent="0.25">
      <c r="B24" s="126" t="s">
        <v>1028</v>
      </c>
      <c r="C24" s="126" t="s">
        <v>1031</v>
      </c>
      <c r="D24" s="127">
        <v>0</v>
      </c>
      <c r="E24" s="127">
        <v>10000</v>
      </c>
      <c r="F24" s="127">
        <v>10000</v>
      </c>
      <c r="G24" s="125" t="s">
        <v>1039</v>
      </c>
      <c r="H24" s="24" t="s">
        <v>1042</v>
      </c>
    </row>
    <row r="25" spans="2:9" ht="15" customHeight="1" x14ac:dyDescent="0.25">
      <c r="B25" s="126" t="s">
        <v>1028</v>
      </c>
      <c r="C25" s="126" t="s">
        <v>992</v>
      </c>
      <c r="D25" s="127">
        <v>60000</v>
      </c>
      <c r="E25" s="127">
        <v>70000</v>
      </c>
      <c r="F25" s="127">
        <v>80000</v>
      </c>
      <c r="G25" s="125" t="s">
        <v>1040</v>
      </c>
      <c r="H25" s="24" t="s">
        <v>1042</v>
      </c>
    </row>
    <row r="26" spans="2:9" ht="15" customHeight="1" x14ac:dyDescent="0.25">
      <c r="B26" s="126" t="s">
        <v>972</v>
      </c>
      <c r="C26" s="126" t="s">
        <v>1031</v>
      </c>
      <c r="D26" s="127">
        <f>50000+60000+1000+22683</f>
        <v>133683</v>
      </c>
      <c r="E26" s="127">
        <v>110000</v>
      </c>
      <c r="F26" s="127">
        <v>110929</v>
      </c>
      <c r="G26" s="125" t="s">
        <v>1039</v>
      </c>
      <c r="H26" s="24" t="s">
        <v>1042</v>
      </c>
    </row>
    <row r="27" spans="2:9" ht="15" customHeight="1" x14ac:dyDescent="0.25">
      <c r="B27" s="126" t="s">
        <v>972</v>
      </c>
      <c r="C27" s="126" t="s">
        <v>992</v>
      </c>
      <c r="D27" s="127">
        <v>5000</v>
      </c>
      <c r="E27" s="127">
        <v>5000</v>
      </c>
      <c r="F27" s="127">
        <v>5000</v>
      </c>
      <c r="G27" s="125" t="s">
        <v>1040</v>
      </c>
      <c r="H27" s="24" t="s">
        <v>1042</v>
      </c>
    </row>
    <row r="28" spans="2:9" ht="15" customHeight="1" x14ac:dyDescent="0.25">
      <c r="B28" s="126" t="s">
        <v>977</v>
      </c>
      <c r="C28" s="126" t="s">
        <v>992</v>
      </c>
      <c r="D28" s="127">
        <v>44217</v>
      </c>
      <c r="E28" s="127">
        <f>15200+50000</f>
        <v>65200</v>
      </c>
      <c r="F28" s="127">
        <f>117200+18000</f>
        <v>135200</v>
      </c>
      <c r="G28" s="125" t="s">
        <v>1040</v>
      </c>
      <c r="H28" s="24" t="s">
        <v>1042</v>
      </c>
    </row>
    <row r="29" spans="2:9" ht="15" customHeight="1" x14ac:dyDescent="0.25">
      <c r="B29" s="126" t="s">
        <v>1033</v>
      </c>
      <c r="C29" s="126" t="s">
        <v>1031</v>
      </c>
      <c r="D29" s="127">
        <v>12500</v>
      </c>
      <c r="E29" s="127">
        <v>25000</v>
      </c>
      <c r="F29" s="127">
        <v>15000</v>
      </c>
      <c r="G29" s="125" t="s">
        <v>1039</v>
      </c>
      <c r="H29" s="24" t="s">
        <v>1042</v>
      </c>
    </row>
    <row r="30" spans="2:9" ht="15" customHeight="1" x14ac:dyDescent="0.25">
      <c r="B30" s="126" t="s">
        <v>983</v>
      </c>
      <c r="C30" s="126" t="s">
        <v>11</v>
      </c>
      <c r="D30" s="127">
        <v>370906</v>
      </c>
      <c r="E30" s="127">
        <v>346746</v>
      </c>
      <c r="F30" s="127">
        <v>324264</v>
      </c>
      <c r="G30" s="125" t="s">
        <v>980</v>
      </c>
      <c r="H30" s="24" t="s">
        <v>1042</v>
      </c>
      <c r="I30" s="676" t="s">
        <v>1171</v>
      </c>
    </row>
    <row r="31" spans="2:9" ht="15" customHeight="1" x14ac:dyDescent="0.25">
      <c r="B31" s="126" t="s">
        <v>984</v>
      </c>
      <c r="C31" s="126" t="s">
        <v>11</v>
      </c>
      <c r="D31" s="127">
        <v>157025</v>
      </c>
      <c r="E31" s="127">
        <v>161502</v>
      </c>
      <c r="F31" s="127">
        <v>167254</v>
      </c>
      <c r="G31" s="125" t="s">
        <v>980</v>
      </c>
      <c r="H31" s="24" t="s">
        <v>1042</v>
      </c>
      <c r="I31" s="24" t="s">
        <v>1172</v>
      </c>
    </row>
    <row r="32" spans="2:9" ht="15" customHeight="1" x14ac:dyDescent="0.25">
      <c r="B32" s="126" t="s">
        <v>1027</v>
      </c>
      <c r="C32" s="126" t="s">
        <v>11</v>
      </c>
      <c r="D32" s="127">
        <v>89789</v>
      </c>
      <c r="E32" s="127">
        <v>93556</v>
      </c>
      <c r="F32" s="127">
        <v>101046</v>
      </c>
      <c r="G32" s="125" t="s">
        <v>980</v>
      </c>
      <c r="H32" s="24" t="s">
        <v>1042</v>
      </c>
    </row>
    <row r="33" spans="2:11" ht="15" customHeight="1" x14ac:dyDescent="0.25">
      <c r="B33" s="126" t="s">
        <v>1028</v>
      </c>
      <c r="C33" s="126" t="s">
        <v>11</v>
      </c>
      <c r="D33" s="127">
        <v>87453</v>
      </c>
      <c r="E33" s="127">
        <v>84791</v>
      </c>
      <c r="F33" s="127">
        <v>107661</v>
      </c>
      <c r="G33" s="125" t="s">
        <v>980</v>
      </c>
      <c r="H33" s="24" t="s">
        <v>1042</v>
      </c>
    </row>
    <row r="34" spans="2:11" ht="15" customHeight="1" x14ac:dyDescent="0.25">
      <c r="B34" s="126" t="s">
        <v>972</v>
      </c>
      <c r="C34" s="126" t="s">
        <v>11</v>
      </c>
      <c r="D34" s="127">
        <v>36142</v>
      </c>
      <c r="E34" s="127">
        <v>41903</v>
      </c>
      <c r="F34" s="127">
        <v>42554</v>
      </c>
      <c r="G34" s="125" t="s">
        <v>980</v>
      </c>
      <c r="H34" s="24" t="s">
        <v>1042</v>
      </c>
    </row>
    <row r="35" spans="2:11" ht="15" customHeight="1" x14ac:dyDescent="0.25">
      <c r="B35" s="126" t="s">
        <v>1034</v>
      </c>
      <c r="C35" s="126" t="s">
        <v>11</v>
      </c>
      <c r="D35" s="127">
        <v>11111</v>
      </c>
      <c r="E35" s="127">
        <v>28381</v>
      </c>
      <c r="F35" s="127">
        <v>27696</v>
      </c>
      <c r="G35" s="125" t="s">
        <v>980</v>
      </c>
      <c r="H35" s="24" t="s">
        <v>1042</v>
      </c>
      <c r="I35" s="655">
        <f>SUM(D30:D35)</f>
        <v>752426</v>
      </c>
      <c r="J35" s="655">
        <f>SUM(E30:E35)</f>
        <v>756879</v>
      </c>
      <c r="K35" s="655">
        <f>SUM(F30:F35)</f>
        <v>770475</v>
      </c>
    </row>
    <row r="36" spans="2:11" ht="15" customHeight="1" x14ac:dyDescent="0.25">
      <c r="B36" s="126" t="s">
        <v>1031</v>
      </c>
      <c r="C36" s="126" t="s">
        <v>11</v>
      </c>
      <c r="D36" s="127">
        <v>0</v>
      </c>
      <c r="E36" s="127">
        <v>126613</v>
      </c>
      <c r="F36" s="127">
        <v>100000</v>
      </c>
      <c r="G36" s="125" t="s">
        <v>1041</v>
      </c>
      <c r="H36" s="24" t="s">
        <v>1042</v>
      </c>
    </row>
    <row r="37" spans="2:11" ht="15" customHeight="1" x14ac:dyDescent="0.25">
      <c r="B37" s="126" t="s">
        <v>993</v>
      </c>
      <c r="C37" s="126" t="s">
        <v>1031</v>
      </c>
      <c r="D37" s="127">
        <v>100000</v>
      </c>
      <c r="E37" s="127">
        <v>100000</v>
      </c>
      <c r="F37" s="127">
        <v>100000</v>
      </c>
      <c r="G37" s="125" t="s">
        <v>1039</v>
      </c>
      <c r="H37" s="24" t="s">
        <v>1042</v>
      </c>
    </row>
    <row r="38" spans="2:11" ht="15" customHeight="1" x14ac:dyDescent="0.25">
      <c r="B38" s="126" t="s">
        <v>1035</v>
      </c>
      <c r="C38" s="126" t="s">
        <v>16</v>
      </c>
      <c r="D38" s="127">
        <v>1056250</v>
      </c>
      <c r="E38" s="127">
        <v>1051850</v>
      </c>
      <c r="F38" s="127">
        <v>1046450</v>
      </c>
      <c r="G38" s="125" t="s">
        <v>1038</v>
      </c>
      <c r="H38" s="24" t="s">
        <v>1042</v>
      </c>
    </row>
    <row r="39" spans="2:11" ht="15" customHeight="1" x14ac:dyDescent="0.25">
      <c r="B39" s="57"/>
      <c r="C39" s="128" t="s">
        <v>48</v>
      </c>
      <c r="D39" s="129">
        <f>SUM(D8:D38)</f>
        <v>5323963</v>
      </c>
      <c r="E39" s="129">
        <f>SUM(E8:E38)</f>
        <v>5532931</v>
      </c>
      <c r="F39" s="129">
        <f>SUM(F8:F38)</f>
        <v>5778346</v>
      </c>
      <c r="G39" s="130"/>
    </row>
    <row r="40" spans="2:11" ht="15" customHeight="1" x14ac:dyDescent="0.25">
      <c r="B40" s="57"/>
      <c r="C40" s="131" t="s">
        <v>182</v>
      </c>
      <c r="D40" s="99"/>
      <c r="E40" s="667">
        <f>E12+E13+E36+E37+E38</f>
        <v>1705594</v>
      </c>
      <c r="F40" s="667">
        <f>F12+F13+F36+F37+F38</f>
        <v>1688891</v>
      </c>
      <c r="G40" s="130"/>
    </row>
    <row r="41" spans="2:11" ht="15" customHeight="1" x14ac:dyDescent="0.25">
      <c r="B41" s="57"/>
      <c r="C41" s="128" t="s">
        <v>183</v>
      </c>
      <c r="D41" s="129">
        <f>D39</f>
        <v>5323963</v>
      </c>
      <c r="E41" s="129">
        <f>SUM(E39-E40)</f>
        <v>3827337</v>
      </c>
      <c r="F41" s="129">
        <f>SUM(F39-F40)</f>
        <v>4089455</v>
      </c>
      <c r="G41" s="130"/>
    </row>
    <row r="42" spans="2:11" ht="15" customHeight="1" x14ac:dyDescent="0.25">
      <c r="B42" s="57"/>
      <c r="C42" s="57"/>
      <c r="D42" s="57"/>
      <c r="E42" s="57"/>
      <c r="F42" s="57"/>
      <c r="G42" s="57"/>
    </row>
    <row r="43" spans="2:11" ht="15" customHeight="1" x14ac:dyDescent="0.25">
      <c r="B43" s="57"/>
      <c r="C43" s="57"/>
      <c r="D43" s="57"/>
      <c r="E43" s="57"/>
      <c r="F43" s="57"/>
      <c r="G43" s="57"/>
    </row>
    <row r="44" spans="2:11" ht="15" customHeight="1" x14ac:dyDescent="0.25">
      <c r="B44" s="249" t="s">
        <v>308</v>
      </c>
      <c r="C44" s="250" t="str">
        <f>CONCATENATE("Adjustments are required only if the transfer is being made in ",E7," and/or ",F7," from a non-budgeted fund.")</f>
        <v>Adjustments are required only if the transfer is being made in 2025 and/or 2026 from a non-budgeted fund.</v>
      </c>
      <c r="D44" s="57"/>
      <c r="E44" s="57"/>
      <c r="F44" s="57"/>
      <c r="G44" s="57"/>
    </row>
    <row r="45" spans="2:11" ht="15" customHeight="1" x14ac:dyDescent="0.25"/>
  </sheetData>
  <mergeCells count="1">
    <mergeCell ref="B3:G3"/>
  </mergeCells>
  <phoneticPr fontId="8" type="noConversion"/>
  <pageMargins left="0.75" right="0.75" top="1" bottom="1" header="0.5" footer="0.5"/>
  <pageSetup scale="71" orientation="landscape" blackAndWhite="1" r:id="rId1"/>
  <headerFooter alignWithMargins="0">
    <oddHeader>&amp;RState of Kansas
City</oddHeader>
    <oddFooter>&amp;CPage No. 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da53aa1-44b3-4cd7-9bce-6d7e34741e4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C9DC4551578746BB2D5CB3C7D70B0F" ma:contentTypeVersion="12" ma:contentTypeDescription="Create a new document." ma:contentTypeScope="" ma:versionID="7651c3249043c5a1de3dbca765d0b8ca">
  <xsd:schema xmlns:xsd="http://www.w3.org/2001/XMLSchema" xmlns:xs="http://www.w3.org/2001/XMLSchema" xmlns:p="http://schemas.microsoft.com/office/2006/metadata/properties" xmlns:ns2="1895758b-fcac-4748-aa0a-5720d2d7d486" xmlns:ns3="7e2d0d8f-ac74-4d4c-8884-aff3748a733a" xmlns:ns4="a9343af4-2466-41a9-9238-9dddcc3e6066" xmlns:ns5="eda53aa1-44b3-4cd7-9bce-6d7e34741e47" targetNamespace="http://schemas.microsoft.com/office/2006/metadata/properties" ma:root="true" ma:fieldsID="db0d394f9a5513f0d824e2dca6eb113c" ns2:_="" ns3:_="" ns4:_="" ns5:_="">
    <xsd:import namespace="1895758b-fcac-4748-aa0a-5720d2d7d486"/>
    <xsd:import namespace="7e2d0d8f-ac74-4d4c-8884-aff3748a733a"/>
    <xsd:import namespace="a9343af4-2466-41a9-9238-9dddcc3e6066"/>
    <xsd:import namespace="eda53aa1-44b3-4cd7-9bce-6d7e34741e4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3:SharedWithUsers" minOccurs="0"/>
                <xsd:element ref="ns4:SharedWithDetails"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5758b-fcac-4748-aa0a-5720d2d7d4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2d0d8f-ac74-4d4c-8884-aff3748a733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343af4-2466-41a9-9238-9dddcc3e6066" elementFormDefault="qualified">
    <xsd:import namespace="http://schemas.microsoft.com/office/2006/documentManagement/types"/>
    <xsd:import namespace="http://schemas.microsoft.com/office/infopath/2007/PartnerControls"/>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a53aa1-44b3-4cd7-9bce-6d7e34741e4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e2891e4-6779-4a5a-9225-82d50eb2cf56}" ma:internalName="TaxCatchAll" ma:showField="CatchAllData" ma:web="eda53aa1-44b3-4cd7-9bce-6d7e34741e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21895E-D76C-4B96-9113-BD89C9374037}">
  <ds:schemaRefs>
    <ds:schemaRef ds:uri="http://schemas.openxmlformats.org/package/2006/metadata/core-properties"/>
    <ds:schemaRef ds:uri="http://purl.org/dc/dcmitype/"/>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eda53aa1-44b3-4cd7-9bce-6d7e34741e47"/>
    <ds:schemaRef ds:uri="a9343af4-2466-41a9-9238-9dddcc3e6066"/>
    <ds:schemaRef ds:uri="7e2d0d8f-ac74-4d4c-8884-aff3748a733a"/>
    <ds:schemaRef ds:uri="1895758b-fcac-4748-aa0a-5720d2d7d486"/>
  </ds:schemaRefs>
</ds:datastoreItem>
</file>

<file path=customXml/itemProps2.xml><?xml version="1.0" encoding="utf-8"?>
<ds:datastoreItem xmlns:ds="http://schemas.openxmlformats.org/officeDocument/2006/customXml" ds:itemID="{2FD45244-BECF-4B1E-A16F-507D8ADD24A8}">
  <ds:schemaRefs>
    <ds:schemaRef ds:uri="http://schemas.microsoft.com/sharepoint/v3/contenttype/forms"/>
  </ds:schemaRefs>
</ds:datastoreItem>
</file>

<file path=customXml/itemProps3.xml><?xml version="1.0" encoding="utf-8"?>
<ds:datastoreItem xmlns:ds="http://schemas.openxmlformats.org/officeDocument/2006/customXml" ds:itemID="{9BEB70B4-B46A-4C87-A128-9E12ABFE09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95758b-fcac-4748-aa0a-5720d2d7d486"/>
    <ds:schemaRef ds:uri="7e2d0d8f-ac74-4d4c-8884-aff3748a733a"/>
    <ds:schemaRef ds:uri="a9343af4-2466-41a9-9238-9dddcc3e6066"/>
    <ds:schemaRef ds:uri="eda53aa1-44b3-4cd7-9bce-6d7e34741e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15</vt:i4>
      </vt:variant>
    </vt:vector>
  </HeadingPairs>
  <TitlesOfParts>
    <vt:vector size="70" baseType="lpstr">
      <vt:lpstr>Instructions</vt:lpstr>
      <vt:lpstr>inputPrYr</vt:lpstr>
      <vt:lpstr>inputOth</vt:lpstr>
      <vt:lpstr>inputHearing</vt:lpstr>
      <vt:lpstr>CPA Summary</vt:lpstr>
      <vt:lpstr>Cert</vt:lpstr>
      <vt:lpstr>Signed Cert</vt:lpstr>
      <vt:lpstr>Mvalloc</vt:lpstr>
      <vt:lpstr>Transfers</vt:lpstr>
      <vt:lpstr>Transfer Statutes</vt:lpstr>
      <vt:lpstr>Debt</vt:lpstr>
      <vt:lpstr>LP Form</vt:lpstr>
      <vt:lpstr>Library Grant</vt:lpstr>
      <vt:lpstr>General7a</vt:lpstr>
      <vt:lpstr>General Detail7b</vt:lpstr>
      <vt:lpstr>DebtSvs-Library8</vt:lpstr>
      <vt:lpstr>Rec-NoxWds9</vt:lpstr>
      <vt:lpstr>SpFire-SpLiab10</vt:lpstr>
      <vt:lpstr>EmBene-EcoDevo11</vt:lpstr>
      <vt:lpstr>NU Levy</vt:lpstr>
      <vt:lpstr>NU Lvy</vt:lpstr>
      <vt:lpstr>SpHwy_Elec12</vt:lpstr>
      <vt:lpstr>Watr_Sewr13</vt:lpstr>
      <vt:lpstr>Trash_CVB14</vt:lpstr>
      <vt:lpstr>SpLET_SpParks15</vt:lpstr>
      <vt:lpstr>E911_Land Bank16</vt:lpstr>
      <vt:lpstr>NUNo Levy Pg</vt:lpstr>
      <vt:lpstr>NUNo Levy Pag</vt:lpstr>
      <vt:lpstr>NUNo Levy Page</vt:lpstr>
      <vt:lpstr>NUSingle No Levy</vt:lpstr>
      <vt:lpstr>NUSingle NoLevy</vt:lpstr>
      <vt:lpstr>NUSingle NoLvy</vt:lpstr>
      <vt:lpstr>NUSingle NLevy</vt:lpstr>
      <vt:lpstr>CIRF_MERF_FP_GWTP_GP17</vt:lpstr>
      <vt:lpstr>RiskMgmt18</vt:lpstr>
      <vt:lpstr>NUNon-Budgeted Funds C</vt:lpstr>
      <vt:lpstr>NUNon-Budgeted Funds D</vt:lpstr>
      <vt:lpstr>Non-Bud Fund Statutes</vt:lpstr>
      <vt:lpstr>Budget Hearing Notice</vt:lpstr>
      <vt:lpstr>Notice of Pub</vt:lpstr>
      <vt:lpstr>CombRate-Bud Hearing Notice19</vt:lpstr>
      <vt:lpstr>Affidavit of Publication</vt:lpstr>
      <vt:lpstr>Published Combined Notice</vt:lpstr>
      <vt:lpstr>NURNR Hearing Notice</vt:lpstr>
      <vt:lpstr>NR Rebate20</vt:lpstr>
      <vt:lpstr>Actual Notice to CoClerk21</vt:lpstr>
      <vt:lpstr>Actual Roll Call to Exceed RNR</vt:lpstr>
      <vt:lpstr>Resolution 1229 to Exceed RNR</vt:lpstr>
      <vt:lpstr>Tab A</vt:lpstr>
      <vt:lpstr>Tab B</vt:lpstr>
      <vt:lpstr>Tab C</vt:lpstr>
      <vt:lpstr>Tab D</vt:lpstr>
      <vt:lpstr>Tab E</vt:lpstr>
      <vt:lpstr>Budget Tools</vt:lpstr>
      <vt:lpstr>Legend</vt:lpstr>
      <vt:lpstr>'Budget Hearing Notice'!Print_Area</vt:lpstr>
      <vt:lpstr>'CombRate-Bud Hearing Notice19'!Print_Area</vt:lpstr>
      <vt:lpstr>'DebtSvs-Library8'!Print_Area</vt:lpstr>
      <vt:lpstr>'EmBene-EcoDevo11'!Print_Area</vt:lpstr>
      <vt:lpstr>General7a!Print_Area</vt:lpstr>
      <vt:lpstr>inputPrYr!Print_Area</vt:lpstr>
      <vt:lpstr>'Library Grant'!Print_Area</vt:lpstr>
      <vt:lpstr>'LP Form'!Print_Area</vt:lpstr>
      <vt:lpstr>Mvalloc!Print_Area</vt:lpstr>
      <vt:lpstr>'NU Levy'!Print_Area</vt:lpstr>
      <vt:lpstr>'NU Lvy'!Print_Area</vt:lpstr>
      <vt:lpstr>'NURNR Hearing Notice'!Print_Area</vt:lpstr>
      <vt:lpstr>'Rec-NoxWds9'!Print_Area</vt:lpstr>
      <vt:lpstr>'SpFire-SpLiab10'!Print_Area</vt:lpstr>
      <vt:lpstr>Transfers!Print_Area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Keesa Mariman</cp:lastModifiedBy>
  <cp:lastPrinted>2025-08-27T19:35:43Z</cp:lastPrinted>
  <dcterms:created xsi:type="dcterms:W3CDTF">1999-08-03T13:11:47Z</dcterms:created>
  <dcterms:modified xsi:type="dcterms:W3CDTF">2025-12-31T20:47:12Z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0x010100DAC9DC4551578746BB2D5CB3C7D70B0F</vt:lpwstr>
  </property>
</Properties>
</file>